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bed-my.sharepoint.com/personal/shawn_tracey_nbed_nb_ca/Documents/_migrated_Aug_9-2023/Yr 2026-2027/Budget/Expenditure Plan and Final Report/"/>
    </mc:Choice>
  </mc:AlternateContent>
  <xr:revisionPtr revIDLastSave="29" documentId="8_{7C8399AC-A514-4AB2-A7CE-5C30FED2B96C}" xr6:coauthVersionLast="47" xr6:coauthVersionMax="47" xr10:uidLastSave="{67336DF8-6ECF-44FF-89B1-90980FAAC329}"/>
  <bookViews>
    <workbookView xWindow="-98" yWindow="-98" windowWidth="38596" windowHeight="10276" xr2:uid="{D388DABC-3A59-4E5C-BB1A-45C006A55B5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165" i="1" l="1"/>
  <c r="P165" i="1"/>
  <c r="J165" i="1"/>
  <c r="O163" i="1"/>
  <c r="N163" i="1"/>
  <c r="L163" i="1"/>
  <c r="K163" i="1"/>
  <c r="I163" i="1"/>
  <c r="H163" i="1"/>
  <c r="F163" i="1"/>
  <c r="E163" i="1"/>
  <c r="M162" i="1"/>
  <c r="P162" i="1" s="1"/>
  <c r="J162" i="1"/>
  <c r="M161" i="1"/>
  <c r="P161" i="1" s="1"/>
  <c r="J161" i="1"/>
  <c r="Q160" i="1"/>
  <c r="M160" i="1"/>
  <c r="P160" i="1" s="1"/>
  <c r="J160" i="1"/>
  <c r="M159" i="1"/>
  <c r="J159" i="1"/>
  <c r="G159" i="1"/>
  <c r="G163" i="1" s="1"/>
  <c r="O155" i="1"/>
  <c r="N155" i="1"/>
  <c r="L155" i="1"/>
  <c r="K155" i="1"/>
  <c r="I155" i="1"/>
  <c r="G155" i="1"/>
  <c r="F155" i="1"/>
  <c r="E155" i="1"/>
  <c r="R154" i="1"/>
  <c r="S154" i="1" s="1"/>
  <c r="M154" i="1"/>
  <c r="P154" i="1" s="1"/>
  <c r="J154" i="1"/>
  <c r="Q153" i="1"/>
  <c r="M153" i="1"/>
  <c r="P153" i="1" s="1"/>
  <c r="H153" i="1"/>
  <c r="H155" i="1" s="1"/>
  <c r="Q152" i="1"/>
  <c r="M152" i="1"/>
  <c r="P152" i="1" s="1"/>
  <c r="J152" i="1"/>
  <c r="M151" i="1"/>
  <c r="P151" i="1" s="1"/>
  <c r="J151" i="1"/>
  <c r="M150" i="1"/>
  <c r="P150" i="1" s="1"/>
  <c r="R150" i="1" s="1"/>
  <c r="S150" i="1" s="1"/>
  <c r="J150" i="1"/>
  <c r="Q149" i="1"/>
  <c r="M149" i="1"/>
  <c r="P149" i="1" s="1"/>
  <c r="J149" i="1"/>
  <c r="R148" i="1"/>
  <c r="S148" i="1" s="1"/>
  <c r="U148" i="1" s="1"/>
  <c r="M148" i="1"/>
  <c r="P148" i="1" s="1"/>
  <c r="J148" i="1"/>
  <c r="R147" i="1"/>
  <c r="S147" i="1" s="1"/>
  <c r="M147" i="1"/>
  <c r="P147" i="1" s="1"/>
  <c r="J147" i="1"/>
  <c r="M146" i="1"/>
  <c r="P146" i="1" s="1"/>
  <c r="J146" i="1"/>
  <c r="S145" i="1"/>
  <c r="U145" i="1" s="1"/>
  <c r="M145" i="1"/>
  <c r="P145" i="1" s="1"/>
  <c r="J145" i="1"/>
  <c r="S144" i="1"/>
  <c r="M144" i="1"/>
  <c r="P144" i="1" s="1"/>
  <c r="J144" i="1"/>
  <c r="Q143" i="1"/>
  <c r="M143" i="1"/>
  <c r="P143" i="1" s="1"/>
  <c r="J143" i="1"/>
  <c r="S142" i="1"/>
  <c r="T142" i="1" s="1"/>
  <c r="M142" i="1"/>
  <c r="P142" i="1" s="1"/>
  <c r="J142" i="1"/>
  <c r="Q141" i="1"/>
  <c r="R141" i="1" s="1"/>
  <c r="M141" i="1"/>
  <c r="P141" i="1" s="1"/>
  <c r="J141" i="1"/>
  <c r="M140" i="1"/>
  <c r="P140" i="1" s="1"/>
  <c r="R140" i="1" s="1"/>
  <c r="S140" i="1" s="1"/>
  <c r="J140" i="1"/>
  <c r="S139" i="1"/>
  <c r="U139" i="1" s="1"/>
  <c r="M139" i="1"/>
  <c r="P139" i="1" s="1"/>
  <c r="J139" i="1"/>
  <c r="M138" i="1"/>
  <c r="P138" i="1" s="1"/>
  <c r="J138" i="1"/>
  <c r="O132" i="1"/>
  <c r="N132" i="1"/>
  <c r="L132" i="1"/>
  <c r="K132" i="1"/>
  <c r="E132" i="1"/>
  <c r="M131" i="1"/>
  <c r="P131" i="1" s="1"/>
  <c r="J131" i="1"/>
  <c r="Q130" i="1"/>
  <c r="M130" i="1"/>
  <c r="P130" i="1" s="1"/>
  <c r="I130" i="1"/>
  <c r="H130" i="1"/>
  <c r="Q129" i="1"/>
  <c r="R129" i="1" s="1"/>
  <c r="M129" i="1"/>
  <c r="P129" i="1" s="1"/>
  <c r="J129" i="1"/>
  <c r="R127" i="1"/>
  <c r="Q127" i="1"/>
  <c r="M127" i="1"/>
  <c r="P127" i="1" s="1"/>
  <c r="H127" i="1"/>
  <c r="J127" i="1" s="1"/>
  <c r="G127" i="1"/>
  <c r="G132" i="1" s="1"/>
  <c r="F127" i="1"/>
  <c r="F128" i="1" s="1"/>
  <c r="F132" i="1" s="1"/>
  <c r="Q124" i="1"/>
  <c r="N124" i="1"/>
  <c r="L124" i="1"/>
  <c r="K124" i="1"/>
  <c r="H124" i="1"/>
  <c r="G124" i="1"/>
  <c r="F124" i="1"/>
  <c r="E124" i="1"/>
  <c r="O123" i="1"/>
  <c r="O124" i="1" s="1"/>
  <c r="M123" i="1"/>
  <c r="I123" i="1"/>
  <c r="J123" i="1" s="1"/>
  <c r="M122" i="1"/>
  <c r="P122" i="1" s="1"/>
  <c r="J122" i="1"/>
  <c r="O116" i="1"/>
  <c r="N116" i="1"/>
  <c r="L116" i="1"/>
  <c r="K116" i="1"/>
  <c r="I116" i="1"/>
  <c r="E116" i="1"/>
  <c r="R115" i="1"/>
  <c r="S115" i="1" s="1"/>
  <c r="M115" i="1"/>
  <c r="P115" i="1" s="1"/>
  <c r="J115" i="1"/>
  <c r="R114" i="1"/>
  <c r="S114" i="1" s="1"/>
  <c r="U114" i="1" s="1"/>
  <c r="M114" i="1"/>
  <c r="P114" i="1" s="1"/>
  <c r="H114" i="1"/>
  <c r="J114" i="1" s="1"/>
  <c r="R113" i="1"/>
  <c r="S113" i="1" s="1"/>
  <c r="M113" i="1"/>
  <c r="P113" i="1" s="1"/>
  <c r="V113" i="1" s="1"/>
  <c r="W113" i="1" s="1"/>
  <c r="J113" i="1"/>
  <c r="R112" i="1"/>
  <c r="S112" i="1" s="1"/>
  <c r="M112" i="1"/>
  <c r="P112" i="1" s="1"/>
  <c r="J112" i="1"/>
  <c r="R111" i="1"/>
  <c r="S111" i="1" s="1"/>
  <c r="M111" i="1"/>
  <c r="P111" i="1" s="1"/>
  <c r="V111" i="1" s="1"/>
  <c r="W111" i="1" s="1"/>
  <c r="J111" i="1"/>
  <c r="R110" i="1"/>
  <c r="S110" i="1" s="1"/>
  <c r="M110" i="1"/>
  <c r="P110" i="1" s="1"/>
  <c r="J110" i="1"/>
  <c r="F109" i="1"/>
  <c r="G109" i="1" s="1"/>
  <c r="G116" i="1" s="1"/>
  <c r="Q108" i="1"/>
  <c r="Q116" i="1" s="1"/>
  <c r="M108" i="1"/>
  <c r="H108" i="1"/>
  <c r="G108" i="1"/>
  <c r="O104" i="1"/>
  <c r="N104" i="1"/>
  <c r="L104" i="1"/>
  <c r="K104" i="1"/>
  <c r="I104" i="1"/>
  <c r="E104" i="1"/>
  <c r="M103" i="1"/>
  <c r="P103" i="1" s="1"/>
  <c r="R103" i="1" s="1"/>
  <c r="S103" i="1" s="1"/>
  <c r="J103" i="1"/>
  <c r="R102" i="1"/>
  <c r="S102" i="1" s="1"/>
  <c r="U102" i="1" s="1"/>
  <c r="M102" i="1"/>
  <c r="P102" i="1" s="1"/>
  <c r="J102" i="1"/>
  <c r="R101" i="1"/>
  <c r="S101" i="1" s="1"/>
  <c r="M101" i="1"/>
  <c r="P101" i="1" s="1"/>
  <c r="J101" i="1"/>
  <c r="R100" i="1"/>
  <c r="S100" i="1" s="1"/>
  <c r="M100" i="1"/>
  <c r="P100" i="1" s="1"/>
  <c r="J100" i="1"/>
  <c r="S99" i="1"/>
  <c r="M99" i="1"/>
  <c r="P99" i="1" s="1"/>
  <c r="J99" i="1"/>
  <c r="R98" i="1"/>
  <c r="S98" i="1" s="1"/>
  <c r="U98" i="1" s="1"/>
  <c r="M98" i="1"/>
  <c r="P98" i="1" s="1"/>
  <c r="J98" i="1"/>
  <c r="R97" i="1"/>
  <c r="S97" i="1" s="1"/>
  <c r="M97" i="1"/>
  <c r="P97" i="1" s="1"/>
  <c r="J97" i="1"/>
  <c r="R96" i="1"/>
  <c r="S96" i="1" s="1"/>
  <c r="M96" i="1"/>
  <c r="P96" i="1" s="1"/>
  <c r="J96" i="1"/>
  <c r="S95" i="1"/>
  <c r="T95" i="1" s="1"/>
  <c r="M95" i="1"/>
  <c r="P95" i="1" s="1"/>
  <c r="J95" i="1"/>
  <c r="R94" i="1"/>
  <c r="S94" i="1" s="1"/>
  <c r="M94" i="1"/>
  <c r="P94" i="1" s="1"/>
  <c r="H94" i="1"/>
  <c r="J94" i="1" s="1"/>
  <c r="S93" i="1"/>
  <c r="M93" i="1"/>
  <c r="P93" i="1" s="1"/>
  <c r="J93" i="1"/>
  <c r="R92" i="1"/>
  <c r="S92" i="1" s="1"/>
  <c r="M92" i="1"/>
  <c r="P92" i="1" s="1"/>
  <c r="J92" i="1"/>
  <c r="S91" i="1"/>
  <c r="M91" i="1"/>
  <c r="P91" i="1" s="1"/>
  <c r="J91" i="1"/>
  <c r="S90" i="1"/>
  <c r="T90" i="1" s="1"/>
  <c r="M90" i="1"/>
  <c r="P90" i="1" s="1"/>
  <c r="J90" i="1"/>
  <c r="R89" i="1"/>
  <c r="S89" i="1" s="1"/>
  <c r="M89" i="1"/>
  <c r="P89" i="1" s="1"/>
  <c r="J89" i="1"/>
  <c r="R88" i="1"/>
  <c r="S88" i="1" s="1"/>
  <c r="M88" i="1"/>
  <c r="P88" i="1" s="1"/>
  <c r="J88" i="1"/>
  <c r="S87" i="1"/>
  <c r="U87" i="1" s="1"/>
  <c r="M87" i="1"/>
  <c r="P87" i="1" s="1"/>
  <c r="V87" i="1" s="1"/>
  <c r="W87" i="1" s="1"/>
  <c r="J87" i="1"/>
  <c r="R86" i="1"/>
  <c r="S86" i="1" s="1"/>
  <c r="M86" i="1"/>
  <c r="P86" i="1" s="1"/>
  <c r="J86" i="1"/>
  <c r="R85" i="1"/>
  <c r="S85" i="1" s="1"/>
  <c r="M85" i="1"/>
  <c r="P85" i="1" s="1"/>
  <c r="J85" i="1"/>
  <c r="R84" i="1"/>
  <c r="S84" i="1" s="1"/>
  <c r="U84" i="1" s="1"/>
  <c r="M84" i="1"/>
  <c r="P84" i="1" s="1"/>
  <c r="H84" i="1"/>
  <c r="J84" i="1" s="1"/>
  <c r="R83" i="1"/>
  <c r="S83" i="1" s="1"/>
  <c r="M83" i="1"/>
  <c r="P83" i="1" s="1"/>
  <c r="V83" i="1" s="1"/>
  <c r="W83" i="1" s="1"/>
  <c r="J83" i="1"/>
  <c r="R82" i="1"/>
  <c r="S82" i="1" s="1"/>
  <c r="M82" i="1"/>
  <c r="P82" i="1" s="1"/>
  <c r="J82" i="1"/>
  <c r="R81" i="1"/>
  <c r="S81" i="1" s="1"/>
  <c r="M81" i="1"/>
  <c r="P81" i="1" s="1"/>
  <c r="J81" i="1"/>
  <c r="Q79" i="1"/>
  <c r="M79" i="1"/>
  <c r="H79" i="1"/>
  <c r="G79" i="1"/>
  <c r="G104" i="1" s="1"/>
  <c r="F79" i="1"/>
  <c r="F80" i="1" s="1"/>
  <c r="Q75" i="1"/>
  <c r="O75" i="1"/>
  <c r="N75" i="1"/>
  <c r="L75" i="1"/>
  <c r="K75" i="1"/>
  <c r="I75" i="1"/>
  <c r="H75" i="1"/>
  <c r="G75" i="1"/>
  <c r="F75" i="1"/>
  <c r="E75" i="1"/>
  <c r="M74" i="1"/>
  <c r="P74" i="1" s="1"/>
  <c r="R74" i="1" s="1"/>
  <c r="S74" i="1" s="1"/>
  <c r="J74" i="1"/>
  <c r="M73" i="1"/>
  <c r="P73" i="1" s="1"/>
  <c r="R73" i="1" s="1"/>
  <c r="S73" i="1" s="1"/>
  <c r="J73" i="1"/>
  <c r="M72" i="1"/>
  <c r="P72" i="1" s="1"/>
  <c r="J72" i="1"/>
  <c r="O68" i="1"/>
  <c r="N68" i="1"/>
  <c r="L68" i="1"/>
  <c r="K68" i="1"/>
  <c r="I68" i="1"/>
  <c r="H68" i="1"/>
  <c r="E68" i="1"/>
  <c r="S67" i="1"/>
  <c r="T67" i="1" s="1"/>
  <c r="M67" i="1"/>
  <c r="P67" i="1" s="1"/>
  <c r="J67" i="1"/>
  <c r="Q66" i="1"/>
  <c r="M66" i="1"/>
  <c r="P66" i="1" s="1"/>
  <c r="J66" i="1"/>
  <c r="M65" i="1"/>
  <c r="P65" i="1" s="1"/>
  <c r="R65" i="1" s="1"/>
  <c r="S65" i="1" s="1"/>
  <c r="J65" i="1"/>
  <c r="M64" i="1"/>
  <c r="P64" i="1" s="1"/>
  <c r="R64" i="1" s="1"/>
  <c r="S64" i="1" s="1"/>
  <c r="J64" i="1"/>
  <c r="S63" i="1"/>
  <c r="U63" i="1" s="1"/>
  <c r="M63" i="1"/>
  <c r="P63" i="1" s="1"/>
  <c r="V63" i="1" s="1"/>
  <c r="W63" i="1" s="1"/>
  <c r="J63" i="1"/>
  <c r="T62" i="1"/>
  <c r="S62" i="1"/>
  <c r="U62" i="1" s="1"/>
  <c r="M62" i="1"/>
  <c r="P62" i="1" s="1"/>
  <c r="J62" i="1"/>
  <c r="M61" i="1"/>
  <c r="P61" i="1" s="1"/>
  <c r="J61" i="1"/>
  <c r="F60" i="1"/>
  <c r="G60" i="1" s="1"/>
  <c r="G68" i="1" s="1"/>
  <c r="Q59" i="1"/>
  <c r="Q68" i="1" s="1"/>
  <c r="M59" i="1"/>
  <c r="J59" i="1"/>
  <c r="G59" i="1"/>
  <c r="O55" i="1"/>
  <c r="N55" i="1"/>
  <c r="L55" i="1"/>
  <c r="K55" i="1"/>
  <c r="I55" i="1"/>
  <c r="H55" i="1"/>
  <c r="E55" i="1"/>
  <c r="Q54" i="1"/>
  <c r="M54" i="1"/>
  <c r="P54" i="1" s="1"/>
  <c r="J54" i="1"/>
  <c r="M53" i="1"/>
  <c r="P53" i="1" s="1"/>
  <c r="J53" i="1"/>
  <c r="M52" i="1"/>
  <c r="P52" i="1" s="1"/>
  <c r="R52" i="1" s="1"/>
  <c r="S52" i="1" s="1"/>
  <c r="J52" i="1"/>
  <c r="R51" i="1"/>
  <c r="S51" i="1" s="1"/>
  <c r="M51" i="1"/>
  <c r="P51" i="1" s="1"/>
  <c r="J51" i="1"/>
  <c r="R50" i="1"/>
  <c r="S50" i="1" s="1"/>
  <c r="M50" i="1"/>
  <c r="P50" i="1" s="1"/>
  <c r="J50" i="1"/>
  <c r="M49" i="1"/>
  <c r="P49" i="1" s="1"/>
  <c r="F49" i="1"/>
  <c r="G49" i="1" s="1"/>
  <c r="R48" i="1"/>
  <c r="S48" i="1" s="1"/>
  <c r="M48" i="1"/>
  <c r="P48" i="1" s="1"/>
  <c r="J48" i="1"/>
  <c r="G48" i="1"/>
  <c r="M47" i="1"/>
  <c r="P47" i="1" s="1"/>
  <c r="J47" i="1"/>
  <c r="M46" i="1"/>
  <c r="P46" i="1" s="1"/>
  <c r="Q45" i="1"/>
  <c r="M45" i="1"/>
  <c r="P45" i="1" s="1"/>
  <c r="J45" i="1"/>
  <c r="F45" i="1"/>
  <c r="F46" i="1" s="1"/>
  <c r="G46" i="1" s="1"/>
  <c r="M44" i="1"/>
  <c r="P44" i="1" s="1"/>
  <c r="J44" i="1"/>
  <c r="R43" i="1"/>
  <c r="S43" i="1" s="1"/>
  <c r="U43" i="1" s="1"/>
  <c r="M43" i="1"/>
  <c r="P43" i="1" s="1"/>
  <c r="J43" i="1"/>
  <c r="R42" i="1"/>
  <c r="S42" i="1" s="1"/>
  <c r="M42" i="1"/>
  <c r="P42" i="1" s="1"/>
  <c r="J42" i="1"/>
  <c r="F41" i="1"/>
  <c r="R40" i="1"/>
  <c r="Q40" i="1"/>
  <c r="M40" i="1"/>
  <c r="P40" i="1" s="1"/>
  <c r="J40" i="1"/>
  <c r="G40" i="1"/>
  <c r="O36" i="1"/>
  <c r="N36" i="1"/>
  <c r="L36" i="1"/>
  <c r="K36" i="1"/>
  <c r="E36" i="1"/>
  <c r="R35" i="1"/>
  <c r="S35" i="1" s="1"/>
  <c r="M35" i="1"/>
  <c r="P35" i="1" s="1"/>
  <c r="J35" i="1"/>
  <c r="M34" i="1"/>
  <c r="R33" i="1"/>
  <c r="S33" i="1" s="1"/>
  <c r="M33" i="1"/>
  <c r="P33" i="1" s="1"/>
  <c r="V33" i="1" s="1"/>
  <c r="W33" i="1" s="1"/>
  <c r="H33" i="1"/>
  <c r="J33" i="1" s="1"/>
  <c r="G33" i="1"/>
  <c r="F33" i="1"/>
  <c r="F34" i="1" s="1"/>
  <c r="G34" i="1" s="1"/>
  <c r="M32" i="1"/>
  <c r="J32" i="1"/>
  <c r="M31" i="1"/>
  <c r="P31" i="1" s="1"/>
  <c r="R31" i="1" s="1"/>
  <c r="S31" i="1" s="1"/>
  <c r="U31" i="1" s="1"/>
  <c r="J31" i="1"/>
  <c r="R30" i="1"/>
  <c r="S30" i="1" s="1"/>
  <c r="M30" i="1"/>
  <c r="P30" i="1" s="1"/>
  <c r="J30" i="1"/>
  <c r="R29" i="1"/>
  <c r="S29" i="1" s="1"/>
  <c r="M29" i="1"/>
  <c r="P29" i="1" s="1"/>
  <c r="J29" i="1"/>
  <c r="M28" i="1"/>
  <c r="R27" i="1"/>
  <c r="Q27" i="1"/>
  <c r="M27" i="1"/>
  <c r="P27" i="1" s="1"/>
  <c r="I27" i="1"/>
  <c r="H27" i="1"/>
  <c r="F27" i="1"/>
  <c r="F28" i="1" s="1"/>
  <c r="G28" i="1" s="1"/>
  <c r="Q26" i="1"/>
  <c r="M26" i="1"/>
  <c r="P26" i="1" s="1"/>
  <c r="J26" i="1"/>
  <c r="O22" i="1"/>
  <c r="N22" i="1"/>
  <c r="L22" i="1"/>
  <c r="K22" i="1"/>
  <c r="F22" i="1"/>
  <c r="E22" i="1"/>
  <c r="M21" i="1"/>
  <c r="P21" i="1" s="1"/>
  <c r="J21" i="1"/>
  <c r="M20" i="1"/>
  <c r="P20" i="1" s="1"/>
  <c r="R20" i="1" s="1"/>
  <c r="S20" i="1" s="1"/>
  <c r="J20" i="1"/>
  <c r="R19" i="1"/>
  <c r="S19" i="1" s="1"/>
  <c r="M19" i="1"/>
  <c r="P19" i="1" s="1"/>
  <c r="J19" i="1"/>
  <c r="M18" i="1"/>
  <c r="P18" i="1" s="1"/>
  <c r="R18" i="1" s="1"/>
  <c r="S18" i="1" s="1"/>
  <c r="J18" i="1"/>
  <c r="R17" i="1"/>
  <c r="S17" i="1" s="1"/>
  <c r="M17" i="1"/>
  <c r="P17" i="1" s="1"/>
  <c r="H17" i="1"/>
  <c r="H22" i="1" s="1"/>
  <c r="Q16" i="1"/>
  <c r="M16" i="1"/>
  <c r="P16" i="1" s="1"/>
  <c r="R16" i="1" s="1"/>
  <c r="S16" i="1" s="1"/>
  <c r="I16" i="1"/>
  <c r="J16" i="1" s="1"/>
  <c r="S15" i="1"/>
  <c r="M15" i="1"/>
  <c r="P15" i="1" s="1"/>
  <c r="J15" i="1"/>
  <c r="R14" i="1"/>
  <c r="S14" i="1" s="1"/>
  <c r="M14" i="1"/>
  <c r="P14" i="1" s="1"/>
  <c r="J14" i="1"/>
  <c r="G13" i="1"/>
  <c r="G22" i="1" s="1"/>
  <c r="Q12" i="1"/>
  <c r="Q22" i="1" s="1"/>
  <c r="M12" i="1"/>
  <c r="J12" i="1"/>
  <c r="G12" i="1"/>
  <c r="V144" i="1" l="1"/>
  <c r="W144" i="1" s="1"/>
  <c r="E134" i="1"/>
  <c r="E167" i="1" s="1"/>
  <c r="N134" i="1"/>
  <c r="O134" i="1"/>
  <c r="O167" i="1" s="1"/>
  <c r="V114" i="1"/>
  <c r="W114" i="1" s="1"/>
  <c r="V102" i="1"/>
  <c r="W102" i="1" s="1"/>
  <c r="J75" i="1"/>
  <c r="V17" i="1"/>
  <c r="W17" i="1" s="1"/>
  <c r="V14" i="1"/>
  <c r="W14" i="1" s="1"/>
  <c r="J153" i="1"/>
  <c r="V90" i="1"/>
  <c r="V94" i="1"/>
  <c r="W94" i="1" s="1"/>
  <c r="V98" i="1"/>
  <c r="W98" i="1" s="1"/>
  <c r="H116" i="1"/>
  <c r="J124" i="1"/>
  <c r="V19" i="1"/>
  <c r="W19" i="1" s="1"/>
  <c r="V115" i="1"/>
  <c r="W115" i="1" s="1"/>
  <c r="P123" i="1"/>
  <c r="R123" i="1" s="1"/>
  <c r="S123" i="1" s="1"/>
  <c r="V123" i="1" s="1"/>
  <c r="W123" i="1" s="1"/>
  <c r="V142" i="1"/>
  <c r="W142" i="1" s="1"/>
  <c r="M163" i="1"/>
  <c r="V29" i="1"/>
  <c r="W29" i="1" s="1"/>
  <c r="V95" i="1"/>
  <c r="W95" i="1" s="1"/>
  <c r="V139" i="1"/>
  <c r="W139" i="1" s="1"/>
  <c r="T139" i="1"/>
  <c r="V85" i="1"/>
  <c r="W85" i="1" s="1"/>
  <c r="L134" i="1"/>
  <c r="L167" i="1" s="1"/>
  <c r="J17" i="1"/>
  <c r="V67" i="1"/>
  <c r="W67" i="1" s="1"/>
  <c r="K134" i="1"/>
  <c r="K167" i="1" s="1"/>
  <c r="R53" i="1"/>
  <c r="S53" i="1" s="1"/>
  <c r="R131" i="1"/>
  <c r="S131" i="1" s="1"/>
  <c r="T131" i="1" s="1"/>
  <c r="V147" i="1"/>
  <c r="W147" i="1" s="1"/>
  <c r="U147" i="1"/>
  <c r="T147" i="1"/>
  <c r="T97" i="1"/>
  <c r="T89" i="1"/>
  <c r="U89" i="1"/>
  <c r="T145" i="1"/>
  <c r="M22" i="1"/>
  <c r="V15" i="1"/>
  <c r="W15" i="1" s="1"/>
  <c r="V62" i="1"/>
  <c r="W62" i="1" s="1"/>
  <c r="M116" i="1"/>
  <c r="T63" i="1"/>
  <c r="J108" i="1"/>
  <c r="J116" i="1" s="1"/>
  <c r="V84" i="1"/>
  <c r="W84" i="1" s="1"/>
  <c r="V92" i="1"/>
  <c r="W92" i="1" s="1"/>
  <c r="P108" i="1"/>
  <c r="P116" i="1" s="1"/>
  <c r="J68" i="1"/>
  <c r="U95" i="1"/>
  <c r="G27" i="1"/>
  <c r="V31" i="1"/>
  <c r="W31" i="1" s="1"/>
  <c r="V50" i="1"/>
  <c r="W50" i="1" s="1"/>
  <c r="T92" i="1"/>
  <c r="R108" i="1"/>
  <c r="R116" i="1" s="1"/>
  <c r="U92" i="1"/>
  <c r="V99" i="1"/>
  <c r="F116" i="1"/>
  <c r="M124" i="1"/>
  <c r="V101" i="1"/>
  <c r="W101" i="1" s="1"/>
  <c r="V148" i="1"/>
  <c r="W148" i="1" s="1"/>
  <c r="V89" i="1"/>
  <c r="W89" i="1" s="1"/>
  <c r="S143" i="1"/>
  <c r="U143" i="1" s="1"/>
  <c r="R143" i="1"/>
  <c r="T148" i="1"/>
  <c r="V48" i="1"/>
  <c r="W48" i="1" s="1"/>
  <c r="V51" i="1"/>
  <c r="W51" i="1" s="1"/>
  <c r="V100" i="1"/>
  <c r="U113" i="1"/>
  <c r="V165" i="1"/>
  <c r="M36" i="1"/>
  <c r="R26" i="1"/>
  <c r="S26" i="1" s="1"/>
  <c r="V93" i="1"/>
  <c r="W93" i="1" s="1"/>
  <c r="V110" i="1"/>
  <c r="W110" i="1" s="1"/>
  <c r="F134" i="1"/>
  <c r="U142" i="1"/>
  <c r="V145" i="1"/>
  <c r="W145" i="1" s="1"/>
  <c r="U35" i="1"/>
  <c r="T35" i="1"/>
  <c r="U17" i="1"/>
  <c r="T17" i="1"/>
  <c r="T19" i="1"/>
  <c r="U19" i="1"/>
  <c r="T52" i="1"/>
  <c r="U52" i="1"/>
  <c r="R66" i="1"/>
  <c r="S66" i="1" s="1"/>
  <c r="U66" i="1" s="1"/>
  <c r="U14" i="1"/>
  <c r="T14" i="1"/>
  <c r="U18" i="1"/>
  <c r="T18" i="1"/>
  <c r="V18" i="1"/>
  <c r="W18" i="1" s="1"/>
  <c r="R47" i="1"/>
  <c r="S47" i="1" s="1"/>
  <c r="V47" i="1" s="1"/>
  <c r="W47" i="1" s="1"/>
  <c r="V42" i="1"/>
  <c r="W42" i="1" s="1"/>
  <c r="P55" i="1"/>
  <c r="U16" i="1"/>
  <c r="V16" i="1"/>
  <c r="W16" i="1" s="1"/>
  <c r="T16" i="1"/>
  <c r="P159" i="1"/>
  <c r="G36" i="1"/>
  <c r="F36" i="1"/>
  <c r="V140" i="1"/>
  <c r="P155" i="1"/>
  <c r="S27" i="1"/>
  <c r="V27" i="1" s="1"/>
  <c r="W27" i="1" s="1"/>
  <c r="T74" i="1"/>
  <c r="U74" i="1"/>
  <c r="R12" i="1"/>
  <c r="U29" i="1"/>
  <c r="Q55" i="1"/>
  <c r="U65" i="1"/>
  <c r="T65" i="1"/>
  <c r="T15" i="1"/>
  <c r="U15" i="1"/>
  <c r="G45" i="1"/>
  <c r="S40" i="1"/>
  <c r="T40" i="1" s="1"/>
  <c r="R21" i="1"/>
  <c r="S21" i="1" s="1"/>
  <c r="T20" i="1"/>
  <c r="P32" i="1"/>
  <c r="U20" i="1"/>
  <c r="V35" i="1"/>
  <c r="W35" i="1" s="1"/>
  <c r="R44" i="1"/>
  <c r="S44" i="1" s="1"/>
  <c r="V44" i="1" s="1"/>
  <c r="W44" i="1" s="1"/>
  <c r="U85" i="1"/>
  <c r="T85" i="1"/>
  <c r="T110" i="1"/>
  <c r="U110" i="1"/>
  <c r="T140" i="1"/>
  <c r="U140" i="1"/>
  <c r="T101" i="1"/>
  <c r="U101" i="1"/>
  <c r="R153" i="1"/>
  <c r="S153" i="1" s="1"/>
  <c r="I22" i="1"/>
  <c r="V20" i="1"/>
  <c r="W20" i="1" s="1"/>
  <c r="H36" i="1"/>
  <c r="R54" i="1"/>
  <c r="S54" i="1" s="1"/>
  <c r="U54" i="1" s="1"/>
  <c r="U96" i="1"/>
  <c r="T96" i="1"/>
  <c r="R146" i="1"/>
  <c r="S146" i="1" s="1"/>
  <c r="P12" i="1"/>
  <c r="T29" i="1"/>
  <c r="U86" i="1"/>
  <c r="V86" i="1"/>
  <c r="W86" i="1" s="1"/>
  <c r="R151" i="1"/>
  <c r="S151" i="1" s="1"/>
  <c r="J27" i="1"/>
  <c r="J36" i="1" s="1"/>
  <c r="I36" i="1"/>
  <c r="U51" i="1"/>
  <c r="T51" i="1"/>
  <c r="J155" i="1"/>
  <c r="R152" i="1"/>
  <c r="S152" i="1" s="1"/>
  <c r="V152" i="1" s="1"/>
  <c r="W152" i="1" s="1"/>
  <c r="M55" i="1"/>
  <c r="T43" i="1"/>
  <c r="Q36" i="1"/>
  <c r="M68" i="1"/>
  <c r="P59" i="1"/>
  <c r="Q132" i="1"/>
  <c r="Q134" i="1" s="1"/>
  <c r="S129" i="1"/>
  <c r="T129" i="1" s="1"/>
  <c r="U42" i="1"/>
  <c r="T42" i="1"/>
  <c r="U48" i="1"/>
  <c r="T48" i="1"/>
  <c r="T86" i="1"/>
  <c r="T81" i="1"/>
  <c r="U81" i="1"/>
  <c r="P132" i="1"/>
  <c r="T33" i="1"/>
  <c r="R61" i="1"/>
  <c r="S61" i="1" s="1"/>
  <c r="T31" i="1"/>
  <c r="U33" i="1"/>
  <c r="G41" i="1"/>
  <c r="F55" i="1"/>
  <c r="V43" i="1"/>
  <c r="W43" i="1" s="1"/>
  <c r="U73" i="1"/>
  <c r="T73" i="1"/>
  <c r="U30" i="1"/>
  <c r="T30" i="1"/>
  <c r="J22" i="1"/>
  <c r="V30" i="1"/>
  <c r="W30" i="1" s="1"/>
  <c r="J55" i="1"/>
  <c r="U50" i="1"/>
  <c r="T50" i="1"/>
  <c r="U150" i="1"/>
  <c r="T150" i="1"/>
  <c r="S127" i="1"/>
  <c r="V127" i="1" s="1"/>
  <c r="V52" i="1"/>
  <c r="W52" i="1" s="1"/>
  <c r="T83" i="1"/>
  <c r="T84" i="1"/>
  <c r="U93" i="1"/>
  <c r="G134" i="1"/>
  <c r="V150" i="1"/>
  <c r="W150" i="1" s="1"/>
  <c r="R59" i="1"/>
  <c r="V64" i="1"/>
  <c r="W64" i="1" s="1"/>
  <c r="F68" i="1"/>
  <c r="V74" i="1"/>
  <c r="W74" i="1" s="1"/>
  <c r="G80" i="1"/>
  <c r="F104" i="1"/>
  <c r="V82" i="1"/>
  <c r="W82" i="1" s="1"/>
  <c r="U83" i="1"/>
  <c r="V88" i="1"/>
  <c r="W88" i="1" s="1"/>
  <c r="T93" i="1"/>
  <c r="U115" i="1"/>
  <c r="T115" i="1"/>
  <c r="S59" i="1"/>
  <c r="T59" i="1" s="1"/>
  <c r="T64" i="1"/>
  <c r="V81" i="1"/>
  <c r="W81" i="1" s="1"/>
  <c r="U88" i="1"/>
  <c r="I124" i="1"/>
  <c r="M132" i="1"/>
  <c r="M155" i="1"/>
  <c r="R161" i="1"/>
  <c r="S161" i="1" s="1"/>
  <c r="T161" i="1" s="1"/>
  <c r="R45" i="1"/>
  <c r="S45" i="1" s="1"/>
  <c r="U64" i="1"/>
  <c r="H104" i="1"/>
  <c r="J79" i="1"/>
  <c r="J104" i="1" s="1"/>
  <c r="U82" i="1"/>
  <c r="T82" i="1"/>
  <c r="T88" i="1"/>
  <c r="V97" i="1"/>
  <c r="W97" i="1" s="1"/>
  <c r="R122" i="1"/>
  <c r="T144" i="1"/>
  <c r="R149" i="1"/>
  <c r="S149" i="1" s="1"/>
  <c r="T149" i="1" s="1"/>
  <c r="U94" i="1"/>
  <c r="T94" i="1"/>
  <c r="N167" i="1"/>
  <c r="V65" i="1"/>
  <c r="W65" i="1" s="1"/>
  <c r="V73" i="1"/>
  <c r="W73" i="1" s="1"/>
  <c r="P79" i="1"/>
  <c r="M104" i="1"/>
  <c r="V91" i="1"/>
  <c r="W91" i="1" s="1"/>
  <c r="V96" i="1"/>
  <c r="W96" i="1" s="1"/>
  <c r="V103" i="1"/>
  <c r="W103" i="1" s="1"/>
  <c r="V112" i="1"/>
  <c r="W112" i="1" s="1"/>
  <c r="T113" i="1"/>
  <c r="T114" i="1"/>
  <c r="R138" i="1"/>
  <c r="U144" i="1"/>
  <c r="Q104" i="1"/>
  <c r="R79" i="1"/>
  <c r="R104" i="1" s="1"/>
  <c r="U91" i="1"/>
  <c r="T91" i="1"/>
  <c r="U103" i="1"/>
  <c r="T103" i="1"/>
  <c r="U67" i="1"/>
  <c r="T87" i="1"/>
  <c r="U97" i="1"/>
  <c r="U112" i="1"/>
  <c r="T112" i="1"/>
  <c r="H132" i="1"/>
  <c r="H134" i="1" s="1"/>
  <c r="I132" i="1"/>
  <c r="J130" i="1"/>
  <c r="J132" i="1" s="1"/>
  <c r="Q155" i="1"/>
  <c r="V154" i="1"/>
  <c r="W154" i="1" s="1"/>
  <c r="M75" i="1"/>
  <c r="U111" i="1"/>
  <c r="U154" i="1"/>
  <c r="T154" i="1"/>
  <c r="R160" i="1"/>
  <c r="S160" i="1" s="1"/>
  <c r="V160" i="1" s="1"/>
  <c r="W160" i="1" s="1"/>
  <c r="R162" i="1"/>
  <c r="S162" i="1" s="1"/>
  <c r="T162" i="1" s="1"/>
  <c r="P75" i="1"/>
  <c r="R72" i="1"/>
  <c r="T102" i="1"/>
  <c r="T111" i="1"/>
  <c r="R130" i="1"/>
  <c r="S130" i="1" s="1"/>
  <c r="S141" i="1"/>
  <c r="J163" i="1"/>
  <c r="Q163" i="1"/>
  <c r="S108" i="1"/>
  <c r="T98" i="1"/>
  <c r="P124" i="1" l="1"/>
  <c r="P134" i="1" s="1"/>
  <c r="J134" i="1"/>
  <c r="J167" i="1" s="1"/>
  <c r="V131" i="1"/>
  <c r="W131" i="1" s="1"/>
  <c r="V108" i="1"/>
  <c r="F167" i="1"/>
  <c r="T27" i="1"/>
  <c r="G55" i="1"/>
  <c r="V162" i="1"/>
  <c r="W162" i="1" s="1"/>
  <c r="M134" i="1"/>
  <c r="M167" i="1" s="1"/>
  <c r="R132" i="1"/>
  <c r="V26" i="1"/>
  <c r="W26" i="1" s="1"/>
  <c r="U26" i="1"/>
  <c r="T26" i="1"/>
  <c r="U53" i="1"/>
  <c r="I134" i="1"/>
  <c r="I167" i="1" s="1"/>
  <c r="V143" i="1"/>
  <c r="W143" i="1" s="1"/>
  <c r="R22" i="1"/>
  <c r="T53" i="1"/>
  <c r="H167" i="1"/>
  <c r="G167" i="1"/>
  <c r="T143" i="1"/>
  <c r="T66" i="1"/>
  <c r="V53" i="1"/>
  <c r="W53" i="1" s="1"/>
  <c r="W108" i="1"/>
  <c r="V116" i="1"/>
  <c r="W116" i="1" s="1"/>
  <c r="U153" i="1"/>
  <c r="T153" i="1"/>
  <c r="V153" i="1"/>
  <c r="W153" i="1" s="1"/>
  <c r="Q167" i="1"/>
  <c r="U45" i="1"/>
  <c r="T45" i="1"/>
  <c r="U61" i="1"/>
  <c r="T61" i="1"/>
  <c r="V45" i="1"/>
  <c r="W45" i="1" s="1"/>
  <c r="S116" i="1"/>
  <c r="T116" i="1" s="1"/>
  <c r="U108" i="1"/>
  <c r="U116" i="1" s="1"/>
  <c r="T108" i="1"/>
  <c r="S79" i="1"/>
  <c r="V79" i="1" s="1"/>
  <c r="V61" i="1"/>
  <c r="W61" i="1" s="1"/>
  <c r="T151" i="1"/>
  <c r="U151" i="1"/>
  <c r="U146" i="1"/>
  <c r="T146" i="1"/>
  <c r="P104" i="1"/>
  <c r="V151" i="1"/>
  <c r="W151" i="1" s="1"/>
  <c r="U149" i="1"/>
  <c r="U44" i="1"/>
  <c r="T44" i="1"/>
  <c r="U141" i="1"/>
  <c r="V141" i="1"/>
  <c r="W141" i="1" s="1"/>
  <c r="T141" i="1"/>
  <c r="U130" i="1"/>
  <c r="V130" i="1"/>
  <c r="W130" i="1" s="1"/>
  <c r="T130" i="1"/>
  <c r="R155" i="1"/>
  <c r="S138" i="1"/>
  <c r="V161" i="1"/>
  <c r="W161" i="1" s="1"/>
  <c r="R68" i="1"/>
  <c r="V149" i="1"/>
  <c r="W149" i="1" s="1"/>
  <c r="U129" i="1"/>
  <c r="V129" i="1"/>
  <c r="W129" i="1" s="1"/>
  <c r="V146" i="1"/>
  <c r="W146" i="1" s="1"/>
  <c r="P36" i="1"/>
  <c r="R32" i="1"/>
  <c r="U27" i="1"/>
  <c r="U47" i="1"/>
  <c r="T47" i="1"/>
  <c r="V66" i="1"/>
  <c r="W66" i="1" s="1"/>
  <c r="R159" i="1"/>
  <c r="P163" i="1"/>
  <c r="R124" i="1"/>
  <c r="R134" i="1" s="1"/>
  <c r="S122" i="1"/>
  <c r="R55" i="1"/>
  <c r="V59" i="1"/>
  <c r="P68" i="1"/>
  <c r="U21" i="1"/>
  <c r="T21" i="1"/>
  <c r="W140" i="1"/>
  <c r="T152" i="1"/>
  <c r="U152" i="1"/>
  <c r="U127" i="1"/>
  <c r="T127" i="1"/>
  <c r="S132" i="1"/>
  <c r="U123" i="1"/>
  <c r="T123" i="1"/>
  <c r="T54" i="1"/>
  <c r="T160" i="1"/>
  <c r="U160" i="1"/>
  <c r="R75" i="1"/>
  <c r="S72" i="1"/>
  <c r="U59" i="1"/>
  <c r="S68" i="1"/>
  <c r="T68" i="1" s="1"/>
  <c r="W127" i="1"/>
  <c r="P22" i="1"/>
  <c r="S55" i="1"/>
  <c r="T55" i="1" s="1"/>
  <c r="V40" i="1"/>
  <c r="U40" i="1"/>
  <c r="S12" i="1"/>
  <c r="V12" i="1" s="1"/>
  <c r="V54" i="1"/>
  <c r="W54" i="1" s="1"/>
  <c r="V21" i="1"/>
  <c r="W21" i="1" s="1"/>
  <c r="T132" i="1" l="1"/>
  <c r="V132" i="1"/>
  <c r="W132" i="1" s="1"/>
  <c r="U55" i="1"/>
  <c r="V155" i="1"/>
  <c r="W155" i="1" s="1"/>
  <c r="U68" i="1"/>
  <c r="U155" i="1"/>
  <c r="V55" i="1"/>
  <c r="W55" i="1" s="1"/>
  <c r="W40" i="1"/>
  <c r="S32" i="1"/>
  <c r="R36" i="1"/>
  <c r="W79" i="1"/>
  <c r="V104" i="1"/>
  <c r="W104" i="1" s="1"/>
  <c r="U79" i="1"/>
  <c r="U104" i="1" s="1"/>
  <c r="S104" i="1"/>
  <c r="T104" i="1" s="1"/>
  <c r="T79" i="1"/>
  <c r="W59" i="1"/>
  <c r="V68" i="1"/>
  <c r="W68" i="1" s="1"/>
  <c r="S124" i="1"/>
  <c r="T122" i="1"/>
  <c r="U122" i="1"/>
  <c r="U124" i="1" s="1"/>
  <c r="V122" i="1"/>
  <c r="V22" i="1"/>
  <c r="W12" i="1"/>
  <c r="U132" i="1"/>
  <c r="P167" i="1"/>
  <c r="R163" i="1"/>
  <c r="S159" i="1"/>
  <c r="U72" i="1"/>
  <c r="U75" i="1" s="1"/>
  <c r="T72" i="1"/>
  <c r="S75" i="1"/>
  <c r="T75" i="1" s="1"/>
  <c r="V72" i="1"/>
  <c r="S155" i="1"/>
  <c r="T155" i="1" s="1"/>
  <c r="T138" i="1"/>
  <c r="U138" i="1"/>
  <c r="V138" i="1"/>
  <c r="W138" i="1" s="1"/>
  <c r="U12" i="1"/>
  <c r="U22" i="1" s="1"/>
  <c r="S22" i="1"/>
  <c r="T12" i="1"/>
  <c r="U134" i="1" l="1"/>
  <c r="T159" i="1"/>
  <c r="S163" i="1"/>
  <c r="T163" i="1" s="1"/>
  <c r="U159" i="1"/>
  <c r="U163" i="1" s="1"/>
  <c r="V159" i="1"/>
  <c r="U32" i="1"/>
  <c r="U36" i="1" s="1"/>
  <c r="T32" i="1"/>
  <c r="S36" i="1"/>
  <c r="T36" i="1" s="1"/>
  <c r="V32" i="1"/>
  <c r="R167" i="1"/>
  <c r="W22" i="1"/>
  <c r="W122" i="1"/>
  <c r="V124" i="1"/>
  <c r="S134" i="1"/>
  <c r="T134" i="1" s="1"/>
  <c r="T124" i="1"/>
  <c r="T22" i="1"/>
  <c r="V75" i="1"/>
  <c r="W75" i="1" s="1"/>
  <c r="W72" i="1"/>
  <c r="U167" i="1" l="1"/>
  <c r="V134" i="1"/>
  <c r="W134" i="1" s="1"/>
  <c r="W124" i="1"/>
  <c r="S167" i="1"/>
  <c r="T167" i="1" s="1"/>
  <c r="W159" i="1"/>
  <c r="V163" i="1"/>
  <c r="W163" i="1" s="1"/>
  <c r="W32" i="1"/>
  <c r="V36" i="1"/>
  <c r="W36" i="1" l="1"/>
  <c r="V167" i="1"/>
  <c r="W1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Tutt</author>
  </authors>
  <commentList>
    <comment ref="H12" authorId="0" shapeId="0" xr:uid="{4C2F5C58-D727-404A-B74E-FBCFA8312C8D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30 day MAT leaves and certification &amp; experience awards.
</t>
        </r>
      </text>
    </comment>
    <comment ref="C15" authorId="0" shapeId="0" xr:uid="{9AA0DE8E-A29B-41D9-8C74-0A515847A897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travel, meeting expenses, extra- and co-curricular trips, copying, telecom, office &amp; computer supplies, office equipment repair, &amp; classroom equipment.</t>
        </r>
      </text>
    </comment>
    <comment ref="H15" authorId="0" shapeId="0" xr:uid="{39A45F21-545A-45E7-8417-6EA776118044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OE funding &amp; OE Funding for teachers included in District Specific funding.
</t>
        </r>
      </text>
    </comment>
    <comment ref="C16" authorId="0" shapeId="0" xr:uid="{680191AA-52F2-4C29-89C5-413334438BB4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instructional materials, textbooks, library materials, and subscriptions.</t>
        </r>
      </text>
    </comment>
    <comment ref="F27" authorId="0" shapeId="0" xr:uid="{79044751-69DE-411C-A0A5-EE4964716AC6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EAs &amp; Student Attendants.
</t>
        </r>
      </text>
    </comment>
    <comment ref="F33" authorId="0" shapeId="0" xr:uid="{AB62A5DF-5D1B-45BE-A643-81E9F252E7C2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SIWs and Behaviour Intervention Mentors.</t>
        </r>
      </text>
    </comment>
    <comment ref="D45" authorId="0" shapeId="0" xr:uid="{2F399EFF-9F42-4137-9E9A-6236FFBD33C4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School Psychologists, and staff for the Support Services to Education (SSE) &amp; Talk with Me (TWM) programs.</t>
        </r>
      </text>
    </comment>
    <comment ref="H63" authorId="0" shapeId="0" xr:uid="{AEFBFCBC-4C3B-47A5-AC68-AEF26D560200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Nutritional Literacy funding.</t>
        </r>
      </text>
    </comment>
    <comment ref="F79" authorId="0" shapeId="0" xr:uid="{EA8FAF38-BB86-4A19-9A51-23B6C3A62A1A}">
      <text>
        <r>
          <rPr>
            <b/>
            <sz val="9"/>
            <color indexed="81"/>
            <rFont val="Tahoma"/>
            <charset val="1"/>
          </rPr>
          <t>Kevin Tutt:</t>
        </r>
        <r>
          <rPr>
            <sz val="9"/>
            <color indexed="81"/>
            <rFont val="Tahoma"/>
            <charset val="1"/>
          </rPr>
          <t xml:space="preserve">
Includes Hanwell Park Academy custodians.</t>
        </r>
      </text>
    </comment>
    <comment ref="H95" authorId="0" shapeId="0" xr:uid="{ACBC99E4-B067-444D-B58E-BE8B71EFC0FF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school site remediation funding.</t>
        </r>
      </text>
    </comment>
    <comment ref="H108" authorId="0" shapeId="0" xr:uid="{653AAD8D-0F3B-4479-8261-FF4509D0E022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Bus Driver Coaches.</t>
        </r>
      </text>
    </comment>
    <comment ref="C127" authorId="0" shapeId="0" xr:uid="{CB03514F-6AC5-412F-86BA-47A8C8D7D294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Office of the Superintendent and Education Support Centres.</t>
        </r>
      </text>
    </comment>
    <comment ref="F127" authorId="0" shapeId="0" xr:uid="{8339DDD3-806B-4F72-BF56-E3BD49C424D5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Excludes ITSS staff and   includes Experiential Learning Coordinators,  Occupational Health &amp; Wellness Coordinators, and additional Asst. Transportation Manager.</t>
        </r>
      </text>
    </comment>
    <comment ref="F128" authorId="0" shapeId="0" xr:uid="{9488ABBD-73F7-4B48-B4BF-CD38A95B6ABA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Excludes ITSS staff and   includes Experiential Learning Coordinators,  Occupational Health &amp; Wellness Coordinators.</t>
        </r>
      </text>
    </comment>
    <comment ref="H130" authorId="0" shapeId="0" xr:uid="{3BCF6250-9C0F-491B-840A-263FE56775B6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Includes print optimization rate increase funding, and OE for ISD &amp; Experiential Learning Coordinators and reciprocal tax agreement</t>
        </r>
      </text>
    </comment>
    <comment ref="H153" authorId="0" shapeId="0" xr:uid="{8366507A-87DF-4F4E-B834-2AC298C33B7D}">
      <text>
        <r>
          <rPr>
            <b/>
            <sz val="9"/>
            <color indexed="81"/>
            <rFont val="Tahoma"/>
            <family val="2"/>
          </rPr>
          <t>Kevin Tutt:</t>
        </r>
        <r>
          <rPr>
            <sz val="9"/>
            <color indexed="81"/>
            <rFont val="Tahoma"/>
            <family val="2"/>
          </rPr>
          <t xml:space="preserve">
Tool allowance, &amp; safety boot allowance.</t>
        </r>
      </text>
    </comment>
  </commentList>
</comments>
</file>

<file path=xl/sharedStrings.xml><?xml version="1.0" encoding="utf-8"?>
<sst xmlns="http://schemas.openxmlformats.org/spreadsheetml/2006/main" count="288" uniqueCount="250">
  <si>
    <t>ANGLOPHONE SCHOOL DISTRICT - WEST</t>
  </si>
  <si>
    <t>FINANCIAL REPORT-EXPENDITURE PLAN PRELIMINARY</t>
  </si>
  <si>
    <t>FOR THE YEAR ENDING MARCH 31, 2027</t>
  </si>
  <si>
    <t xml:space="preserve"> </t>
  </si>
  <si>
    <t>Coding</t>
  </si>
  <si>
    <t>Description</t>
  </si>
  <si>
    <t>FTEs</t>
  </si>
  <si>
    <t>Budget</t>
  </si>
  <si>
    <t>Expenses</t>
  </si>
  <si>
    <t>Change</t>
  </si>
  <si>
    <t>Variance</t>
  </si>
  <si>
    <t>Actual</t>
  </si>
  <si>
    <t>Funded</t>
  </si>
  <si>
    <t>Increase /</t>
  </si>
  <si>
    <t>Original</t>
  </si>
  <si>
    <t>District</t>
  </si>
  <si>
    <t>Quarterly</t>
  </si>
  <si>
    <t xml:space="preserve">Other </t>
  </si>
  <si>
    <t>Oracle</t>
  </si>
  <si>
    <t>Final</t>
  </si>
  <si>
    <t>Year-to-Date</t>
  </si>
  <si>
    <t>Forecast</t>
  </si>
  <si>
    <t>Total</t>
  </si>
  <si>
    <t>% Spent</t>
  </si>
  <si>
    <t>from last</t>
  </si>
  <si>
    <t>Amount</t>
  </si>
  <si>
    <t>%</t>
  </si>
  <si>
    <t>(Decrease)</t>
  </si>
  <si>
    <t>Funding</t>
  </si>
  <si>
    <t>Expenditure</t>
  </si>
  <si>
    <t>Transfers</t>
  </si>
  <si>
    <t xml:space="preserve">Transfers </t>
  </si>
  <si>
    <t>to-Date</t>
  </si>
  <si>
    <t>Financial</t>
  </si>
  <si>
    <t>Plan</t>
  </si>
  <si>
    <t>Received</t>
  </si>
  <si>
    <t>Pending</t>
  </si>
  <si>
    <t>Report</t>
  </si>
  <si>
    <t>INSTRUCTION &amp; SCHOOL SERVICES</t>
  </si>
  <si>
    <t>P71100-3431</t>
  </si>
  <si>
    <t>Teacher Salaries</t>
  </si>
  <si>
    <t>Apr.-Aug.</t>
  </si>
  <si>
    <t>Sep.-Mar.</t>
  </si>
  <si>
    <t>P71100-3467</t>
  </si>
  <si>
    <t>Supply Teachers</t>
  </si>
  <si>
    <t>P71100-4904</t>
  </si>
  <si>
    <t>School Operating Expenses</t>
  </si>
  <si>
    <t>P71100-5189</t>
  </si>
  <si>
    <t>Instructional Materials</t>
  </si>
  <si>
    <t>District Office Expenses Lead travel</t>
  </si>
  <si>
    <t>P72203-3431</t>
  </si>
  <si>
    <t>Teacher Educational Leaves</t>
  </si>
  <si>
    <t>P72204-4904</t>
  </si>
  <si>
    <t>Out of Province travel</t>
  </si>
  <si>
    <t>P72209-5189</t>
  </si>
  <si>
    <t>Teachers' Working Conditions Fund</t>
  </si>
  <si>
    <t>P75200-3451</t>
  </si>
  <si>
    <t>Co/Extra Curricular Trips</t>
  </si>
  <si>
    <t>TOTAL INSTRUCTION &amp; SCHOOL SERVICES</t>
  </si>
  <si>
    <t>EDUCATION &amp; SUPPORT SERVICES</t>
  </si>
  <si>
    <t>P71300-4904</t>
  </si>
  <si>
    <t>Operating Expenses</t>
  </si>
  <si>
    <t>P72301-3431</t>
  </si>
  <si>
    <t>Educational Assistant (EA) Wages</t>
  </si>
  <si>
    <t>P72301-3451</t>
  </si>
  <si>
    <t>EA Casual Pay</t>
  </si>
  <si>
    <t>P72301-3466</t>
  </si>
  <si>
    <t>EA Replacement Costs</t>
  </si>
  <si>
    <t>P73101-3451</t>
  </si>
  <si>
    <t>Tutor Support</t>
  </si>
  <si>
    <t>P73301-3451</t>
  </si>
  <si>
    <t>Home/Hospital Tutoring</t>
  </si>
  <si>
    <t>P73902-3431</t>
  </si>
  <si>
    <t>Positive Learning Environment</t>
  </si>
  <si>
    <t>P73902-3451</t>
  </si>
  <si>
    <t>PLEP Casual Pay</t>
  </si>
  <si>
    <t>TOTAL EDUCATION &amp; SUPPORT SERVICES</t>
  </si>
  <si>
    <t>SCHOOL MANAGEMENT &amp; SUPPORT</t>
  </si>
  <si>
    <t>P72100-3431</t>
  </si>
  <si>
    <t>School Administrative Assistant (SAA) Wages</t>
  </si>
  <si>
    <t>P72100-3451</t>
  </si>
  <si>
    <t>SAA Casual Pay</t>
  </si>
  <si>
    <t>P72100-3466</t>
  </si>
  <si>
    <t>SAA Replacement Costs</t>
  </si>
  <si>
    <t>P72100-5739</t>
  </si>
  <si>
    <t>School Office &amp; Telephones</t>
  </si>
  <si>
    <t>P72201-3431</t>
  </si>
  <si>
    <t>SSE / Talk with Me (TWM) Salaries</t>
  </si>
  <si>
    <t>P72201-4904</t>
  </si>
  <si>
    <t>SSE / TWM Operating Expenses</t>
  </si>
  <si>
    <t>P72202-3431</t>
  </si>
  <si>
    <t>Library Assistant (LA) Wages</t>
  </si>
  <si>
    <t>P72202-3451</t>
  </si>
  <si>
    <t>LA Casual Pay</t>
  </si>
  <si>
    <t>P72202-3466</t>
  </si>
  <si>
    <t>LA Replacement Costs</t>
  </si>
  <si>
    <t>P72202-5189</t>
  </si>
  <si>
    <t>LA resources (Public libraries)</t>
  </si>
  <si>
    <t>P72205-3467</t>
  </si>
  <si>
    <t>EECD Organized P.D. &amp; Meetings</t>
  </si>
  <si>
    <t>P72200-P72300</t>
  </si>
  <si>
    <t>Other Support Services</t>
  </si>
  <si>
    <t>TOTAL SCHOOL MANAGEMENT &amp; SUPPORT</t>
  </si>
  <si>
    <t>PROGRAMS</t>
  </si>
  <si>
    <t>P72211-3431</t>
  </si>
  <si>
    <t>Community Schools Coordinator Salaries</t>
  </si>
  <si>
    <t>P72211-4904</t>
  </si>
  <si>
    <t>Community Schools Operating Expenses</t>
  </si>
  <si>
    <t>P73114-5189</t>
  </si>
  <si>
    <t>Nutritional Literacy Funding</t>
  </si>
  <si>
    <t>P73114-5241</t>
  </si>
  <si>
    <t>Healthy Minds</t>
  </si>
  <si>
    <t>P73302-3451</t>
  </si>
  <si>
    <t>EAL Tutoring</t>
  </si>
  <si>
    <t>P73500-3431</t>
  </si>
  <si>
    <t>First Nations Education</t>
  </si>
  <si>
    <t>P72405-P73913</t>
  </si>
  <si>
    <t>Other Programs (includes Adm mtgs)</t>
  </si>
  <si>
    <t>P73914-3431</t>
  </si>
  <si>
    <t>Youth Futures</t>
  </si>
  <si>
    <t>TOTAL PROGRAMS</t>
  </si>
  <si>
    <t>INFORMATION TECHNOLOGY</t>
  </si>
  <si>
    <t>P72402-3431</t>
  </si>
  <si>
    <t>I.T. Technician Salaries</t>
  </si>
  <si>
    <t>P72402-6071</t>
  </si>
  <si>
    <t>P72407-3431</t>
  </si>
  <si>
    <t>I.T. Shared Services</t>
  </si>
  <si>
    <t>TOTAL INFORMATION TECHNOLOGY</t>
  </si>
  <si>
    <t>FACILITIES</t>
  </si>
  <si>
    <t>P74100-3431</t>
  </si>
  <si>
    <t>Custodial &amp; Maintenance Wages</t>
  </si>
  <si>
    <t>P74100-3432</t>
  </si>
  <si>
    <t>Overtime Pay</t>
  </si>
  <si>
    <t>P74100-3435</t>
  </si>
  <si>
    <t>Night &amp; split shift premiums</t>
  </si>
  <si>
    <t>P74100-3451</t>
  </si>
  <si>
    <t>Casual Pay</t>
  </si>
  <si>
    <t>P74100-3466</t>
  </si>
  <si>
    <t>Custodian Replacement Costs</t>
  </si>
  <si>
    <t>P74100-4252</t>
  </si>
  <si>
    <t>Electricity</t>
  </si>
  <si>
    <t>P74100-4255</t>
  </si>
  <si>
    <t>Water &amp; Sewer</t>
  </si>
  <si>
    <t>P74100-4509</t>
  </si>
  <si>
    <t>Other  Operating Expenses</t>
  </si>
  <si>
    <t>P74100-4511</t>
  </si>
  <si>
    <t>Contracted Cleaning</t>
  </si>
  <si>
    <t>P74100-4513</t>
  </si>
  <si>
    <t>Garbage Removal</t>
  </si>
  <si>
    <t>P74100-4514</t>
  </si>
  <si>
    <t>Minor Repairs</t>
  </si>
  <si>
    <t>P74100-4519</t>
  </si>
  <si>
    <t>Other Building Services</t>
  </si>
  <si>
    <t>P74100-4711</t>
  </si>
  <si>
    <t>Snow Removal</t>
  </si>
  <si>
    <t>P74100-4721</t>
  </si>
  <si>
    <t>Facility Rentals</t>
  </si>
  <si>
    <t>P74100-4731</t>
  </si>
  <si>
    <t>Maintenance Vehicle Expenses</t>
  </si>
  <si>
    <t>P74100-4904</t>
  </si>
  <si>
    <t>P74100-5331</t>
  </si>
  <si>
    <t>Heating Fuel</t>
  </si>
  <si>
    <t>P74100-5332</t>
  </si>
  <si>
    <t>Natural Gas</t>
  </si>
  <si>
    <t>P74100-5339</t>
  </si>
  <si>
    <t>Wood Pellets</t>
  </si>
  <si>
    <t>P74100-5413</t>
  </si>
  <si>
    <t>Cleaning Supplies</t>
  </si>
  <si>
    <t>P74100-6479</t>
  </si>
  <si>
    <t xml:space="preserve">Operating Expenses </t>
  </si>
  <si>
    <t>P74102-4769</t>
  </si>
  <si>
    <t>P74104-5413</t>
  </si>
  <si>
    <t>P74103-P74120</t>
  </si>
  <si>
    <t>Maintenance Projects</t>
  </si>
  <si>
    <t>TOTAL FACILITIES</t>
  </si>
  <si>
    <t>TRANSPORTATION</t>
  </si>
  <si>
    <t>P75100-3431</t>
  </si>
  <si>
    <t>Bus Driver Wages</t>
  </si>
  <si>
    <t>P75100-3432</t>
  </si>
  <si>
    <t>P75100-3451</t>
  </si>
  <si>
    <t>P75100-3466</t>
  </si>
  <si>
    <t>Bus Driver Replacement Costs</t>
  </si>
  <si>
    <t>P75100-4554</t>
  </si>
  <si>
    <t>Contracted Conveyances</t>
  </si>
  <si>
    <t>P75100-4731</t>
  </si>
  <si>
    <t>Bus Operations</t>
  </si>
  <si>
    <t>P75100-4904</t>
  </si>
  <si>
    <t>TOTAL TRANSPORTATION</t>
  </si>
  <si>
    <t>DISTRICT OPERATIONS</t>
  </si>
  <si>
    <t>DECs &amp; PSSCs</t>
  </si>
  <si>
    <t>P76100-3449</t>
  </si>
  <si>
    <t>DEC Compensation</t>
  </si>
  <si>
    <t>P76100-4505</t>
  </si>
  <si>
    <t>DEC / PSSC Operating Expenses</t>
  </si>
  <si>
    <t>TOTAL DECs &amp; PSSCs</t>
  </si>
  <si>
    <t>DISTRICT MANAGEMENT</t>
  </si>
  <si>
    <t>P76200-3431</t>
  </si>
  <si>
    <t>District Management Salaries</t>
  </si>
  <si>
    <t>P76200-3451</t>
  </si>
  <si>
    <t>P76200-4904</t>
  </si>
  <si>
    <t>P76600-4801</t>
  </si>
  <si>
    <t>Occupational Health &amp; Safety</t>
  </si>
  <si>
    <t>TOTAL DISTRICT MANAGEMENT</t>
  </si>
  <si>
    <t>TOTAL DISTRICT OPERATIONS</t>
  </si>
  <si>
    <t>BENEFITS</t>
  </si>
  <si>
    <t>P77100-3429</t>
  </si>
  <si>
    <t>Other Pension</t>
  </si>
  <si>
    <t>P77100-3434</t>
  </si>
  <si>
    <t>Standby Pay</t>
  </si>
  <si>
    <t>P77100-3438</t>
  </si>
  <si>
    <t>Retirement Allowances</t>
  </si>
  <si>
    <t>P77100-3441</t>
  </si>
  <si>
    <t>Vacation Pay</t>
  </si>
  <si>
    <t>P77100-3451</t>
  </si>
  <si>
    <t>P77100-3463</t>
  </si>
  <si>
    <t>Vacation Pay - Casual</t>
  </si>
  <si>
    <t>P77100-3466</t>
  </si>
  <si>
    <t>Worksafe N.B.</t>
  </si>
  <si>
    <t>P77100-3467</t>
  </si>
  <si>
    <t>Supply Days</t>
  </si>
  <si>
    <t>P77100-3601</t>
  </si>
  <si>
    <t>Group Insurance</t>
  </si>
  <si>
    <t>P77100-3602</t>
  </si>
  <si>
    <t>Canada Pension Plan</t>
  </si>
  <si>
    <t>P77100-3603</t>
  </si>
  <si>
    <t>Health &amp; Dental Insurance</t>
  </si>
  <si>
    <t>P77100-3604</t>
  </si>
  <si>
    <t>Employment Insurance</t>
  </si>
  <si>
    <t>P77100-3704</t>
  </si>
  <si>
    <t>Dry Cleaning Allowance</t>
  </si>
  <si>
    <t>P77100-3705</t>
  </si>
  <si>
    <t>Block Heater Allowance</t>
  </si>
  <si>
    <t>P77100-3706</t>
  </si>
  <si>
    <t>Bus Driver Medical</t>
  </si>
  <si>
    <t>P77100-3709</t>
  </si>
  <si>
    <t>Other Benefits</t>
  </si>
  <si>
    <t>P77100-3711</t>
  </si>
  <si>
    <t>Workers Compensation</t>
  </si>
  <si>
    <t>TOTAL BENEFITS</t>
  </si>
  <si>
    <t>PROJECTS</t>
  </si>
  <si>
    <t>P78105-3431</t>
  </si>
  <si>
    <t>Secondments</t>
  </si>
  <si>
    <t>P78100-P78199</t>
  </si>
  <si>
    <t>Other Projects</t>
  </si>
  <si>
    <t>P78200</t>
  </si>
  <si>
    <t>Breakfast Program</t>
  </si>
  <si>
    <t>P78201</t>
  </si>
  <si>
    <t>Lunch Program</t>
  </si>
  <si>
    <t>TOTAL PROJECTS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</si>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</sst>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;0;"/>
    <numFmt numFmtId="165" formatCode="[$-1009]d\-mmm\-yy;@"/>
    <numFmt numFmtId="166" formatCode="##,##0.00_);[Red]\(##,##0.00\);0.00_)"/>
    <numFmt numFmtId="168" formatCode="&quot;$&quot;#,##0"/>
    <numFmt numFmtId="169" formatCode="0.00%_);[Red]\(0.00%\);0.00%_)"/>
    <numFmt numFmtId="170" formatCode="&quot;$&quot;##,##0_);[Red]\(&quot;$&quot;##,##0\);&quot;$&quot;0_)"/>
    <numFmt numFmtId="171" formatCode="##,##0_);[Red]\(##,##0\);0_)"/>
    <numFmt numFmtId="173" formatCode="_-* #,##0\ _$_-;\-* #,##0\ _$_-;_-* &quot;-&quot;??\ _$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Bookman Old Style"/>
      <family val="1"/>
    </font>
    <font>
      <sz val="10"/>
      <name val="Bookman Old Style"/>
      <family val="1"/>
    </font>
    <font>
      <sz val="8"/>
      <name val="Bookman Old Style"/>
      <family val="1"/>
    </font>
    <font>
      <b/>
      <sz val="12"/>
      <name val="Bookman Old Style"/>
      <family val="1"/>
    </font>
    <font>
      <b/>
      <sz val="12"/>
      <color rgb="FFFF0000"/>
      <name val="Bookman Old Style"/>
      <family val="1"/>
    </font>
    <font>
      <sz val="10"/>
      <name val="MS Sans Serif"/>
      <family val="2"/>
    </font>
    <font>
      <sz val="10"/>
      <color rgb="FFFF0000"/>
      <name val="Bookman Old Style"/>
      <family val="1"/>
    </font>
    <font>
      <b/>
      <i/>
      <sz val="10"/>
      <name val="Bookman Old Style"/>
      <family val="1"/>
    </font>
    <font>
      <sz val="10"/>
      <name val="Arial"/>
      <family val="2"/>
    </font>
    <font>
      <b/>
      <u/>
      <sz val="10"/>
      <name val="Bookman Old Style"/>
      <family val="1"/>
    </font>
    <font>
      <b/>
      <i/>
      <sz val="10"/>
      <color rgb="FFFF0000"/>
      <name val="Bookman Old Style"/>
      <family val="1"/>
    </font>
    <font>
      <b/>
      <i/>
      <u/>
      <sz val="10"/>
      <name val="Bookman Old Style"/>
      <family val="1"/>
    </font>
    <font>
      <i/>
      <sz val="9"/>
      <name val="Bookman Old Style"/>
      <family val="1"/>
    </font>
    <font>
      <sz val="9"/>
      <name val="Bookman Old Style"/>
      <family val="1"/>
    </font>
    <font>
      <b/>
      <sz val="10"/>
      <color rgb="FFFF0000"/>
      <name val="Bookman Old Style"/>
      <family val="1"/>
    </font>
    <font>
      <b/>
      <sz val="8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8" fontId="7" fillId="0" borderId="0" applyFont="0" applyFill="0" applyBorder="0" applyAlignment="0" applyProtection="0"/>
    <xf numFmtId="0" fontId="1" fillId="0" borderId="0"/>
  </cellStyleXfs>
  <cellXfs count="24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Continuous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8" borderId="13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10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9" fontId="3" fillId="11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165" fontId="3" fillId="7" borderId="13" xfId="0" applyNumberFormat="1" applyFont="1" applyFill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3" fillId="1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165" fontId="3" fillId="9" borderId="13" xfId="4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15" xfId="0" applyFont="1" applyBorder="1"/>
    <xf numFmtId="165" fontId="3" fillId="7" borderId="16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17" xfId="0" applyFont="1" applyBorder="1" applyAlignment="1">
      <alignment horizontal="right"/>
    </xf>
    <xf numFmtId="0" fontId="3" fillId="8" borderId="16" xfId="0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5" borderId="18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13" xfId="0" applyFont="1" applyBorder="1"/>
    <xf numFmtId="0" fontId="10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7" xfId="0" applyFont="1" applyBorder="1"/>
    <xf numFmtId="0" fontId="3" fillId="0" borderId="14" xfId="0" applyFont="1" applyBorder="1"/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4" fontId="3" fillId="7" borderId="13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168" fontId="3" fillId="0" borderId="13" xfId="1" applyNumberFormat="1" applyFont="1" applyFill="1" applyBorder="1" applyAlignment="1" applyProtection="1">
      <alignment horizontal="right" vertical="center"/>
    </xf>
    <xf numFmtId="168" fontId="3" fillId="0" borderId="0" xfId="1" applyNumberFormat="1" applyFont="1" applyFill="1" applyBorder="1" applyAlignment="1" applyProtection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8" fontId="3" fillId="0" borderId="0" xfId="0" applyNumberFormat="1" applyFont="1"/>
    <xf numFmtId="168" fontId="3" fillId="7" borderId="0" xfId="1" applyNumberFormat="1" applyFont="1" applyFill="1" applyBorder="1" applyAlignment="1" applyProtection="1">
      <alignment horizontal="right" vertical="center"/>
    </xf>
    <xf numFmtId="169" fontId="10" fillId="0" borderId="0" xfId="2" applyNumberFormat="1" applyFont="1" applyFill="1" applyBorder="1" applyAlignment="1">
      <alignment horizontal="right" vertical="center"/>
    </xf>
    <xf numFmtId="6" fontId="3" fillId="0" borderId="13" xfId="0" applyNumberFormat="1" applyFont="1" applyBorder="1" applyAlignment="1">
      <alignment horizontal="right" vertical="center"/>
    </xf>
    <xf numFmtId="169" fontId="3" fillId="0" borderId="14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38" fontId="3" fillId="0" borderId="0" xfId="1" applyNumberFormat="1" applyFont="1" applyFill="1" applyBorder="1" applyAlignment="1" applyProtection="1">
      <alignment horizontal="right" vertical="center"/>
    </xf>
    <xf numFmtId="170" fontId="3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" fontId="3" fillId="0" borderId="13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3" fillId="0" borderId="14" xfId="0" applyNumberFormat="1" applyFont="1" applyBorder="1" applyAlignment="1">
      <alignment horizontal="center" vertical="top"/>
    </xf>
    <xf numFmtId="3" fontId="3" fillId="0" borderId="13" xfId="0" applyNumberFormat="1" applyFont="1" applyBorder="1" applyAlignment="1">
      <alignment vertical="center"/>
    </xf>
    <xf numFmtId="38" fontId="3" fillId="0" borderId="0" xfId="1" applyNumberFormat="1" applyFont="1" applyFill="1" applyBorder="1" applyAlignment="1" applyProtection="1">
      <alignment vertical="center"/>
    </xf>
    <xf numFmtId="171" fontId="3" fillId="0" borderId="0" xfId="0" applyNumberFormat="1" applyFont="1" applyAlignment="1">
      <alignment vertical="top"/>
    </xf>
    <xf numFmtId="37" fontId="3" fillId="0" borderId="13" xfId="1" applyNumberFormat="1" applyFont="1" applyFill="1" applyBorder="1" applyAlignment="1" applyProtection="1">
      <alignment vertical="center"/>
    </xf>
    <xf numFmtId="37" fontId="3" fillId="7" borderId="0" xfId="1" applyNumberFormat="1" applyFont="1" applyFill="1" applyBorder="1" applyAlignment="1" applyProtection="1">
      <alignment vertical="top"/>
    </xf>
    <xf numFmtId="38" fontId="3" fillId="0" borderId="0" xfId="1" applyNumberFormat="1" applyFont="1" applyFill="1" applyBorder="1" applyAlignment="1" applyProtection="1">
      <alignment vertical="top"/>
    </xf>
    <xf numFmtId="169" fontId="10" fillId="0" borderId="0" xfId="2" applyNumberFormat="1" applyFont="1" applyFill="1" applyBorder="1" applyAlignment="1">
      <alignment horizontal="right"/>
    </xf>
    <xf numFmtId="171" fontId="3" fillId="0" borderId="13" xfId="0" applyNumberFormat="1" applyFont="1" applyBorder="1" applyAlignment="1">
      <alignment vertical="top"/>
    </xf>
    <xf numFmtId="0" fontId="3" fillId="0" borderId="0" xfId="0" applyFont="1" applyAlignment="1">
      <alignment vertical="center"/>
    </xf>
    <xf numFmtId="4" fontId="3" fillId="0" borderId="13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4" xfId="0" applyNumberFormat="1" applyFont="1" applyBorder="1" applyAlignment="1">
      <alignment vertical="center"/>
    </xf>
    <xf numFmtId="37" fontId="3" fillId="0" borderId="0" xfId="1" applyNumberFormat="1" applyFont="1" applyFill="1" applyBorder="1" applyAlignment="1" applyProtection="1">
      <alignment vertical="center"/>
    </xf>
    <xf numFmtId="4" fontId="3" fillId="0" borderId="13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14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7" fontId="3" fillId="0" borderId="0" xfId="1" applyNumberFormat="1" applyFont="1" applyFill="1" applyBorder="1" applyProtection="1"/>
    <xf numFmtId="37" fontId="3" fillId="0" borderId="13" xfId="1" applyNumberFormat="1" applyFont="1" applyFill="1" applyBorder="1" applyProtection="1"/>
    <xf numFmtId="3" fontId="3" fillId="0" borderId="13" xfId="0" applyNumberFormat="1" applyFont="1" applyBorder="1"/>
    <xf numFmtId="3" fontId="3" fillId="0" borderId="0" xfId="0" applyNumberFormat="1" applyFont="1" applyAlignment="1">
      <alignment horizontal="right"/>
    </xf>
    <xf numFmtId="4" fontId="3" fillId="0" borderId="19" xfId="1" applyNumberFormat="1" applyFont="1" applyFill="1" applyBorder="1" applyProtection="1"/>
    <xf numFmtId="4" fontId="3" fillId="0" borderId="20" xfId="1" applyNumberFormat="1" applyFont="1" applyFill="1" applyBorder="1" applyProtection="1"/>
    <xf numFmtId="166" fontId="3" fillId="0" borderId="21" xfId="0" applyNumberFormat="1" applyFont="1" applyBorder="1" applyAlignment="1">
      <alignment vertical="top"/>
    </xf>
    <xf numFmtId="168" fontId="3" fillId="0" borderId="20" xfId="1" applyNumberFormat="1" applyFont="1" applyFill="1" applyBorder="1" applyAlignment="1" applyProtection="1">
      <alignment vertical="top"/>
    </xf>
    <xf numFmtId="6" fontId="3" fillId="0" borderId="20" xfId="0" applyNumberFormat="1" applyFont="1" applyBorder="1" applyAlignment="1">
      <alignment vertical="top"/>
    </xf>
    <xf numFmtId="168" fontId="3" fillId="0" borderId="20" xfId="1" applyNumberFormat="1" applyFont="1" applyFill="1" applyBorder="1" applyProtection="1"/>
    <xf numFmtId="38" fontId="3" fillId="0" borderId="20" xfId="1" applyNumberFormat="1" applyFont="1" applyFill="1" applyBorder="1" applyAlignment="1" applyProtection="1">
      <alignment horizontal="right" vertical="center"/>
    </xf>
    <xf numFmtId="168" fontId="3" fillId="0" borderId="19" xfId="1" applyNumberFormat="1" applyFont="1" applyFill="1" applyBorder="1" applyProtection="1"/>
    <xf numFmtId="169" fontId="10" fillId="0" borderId="20" xfId="2" applyNumberFormat="1" applyFont="1" applyFill="1" applyBorder="1" applyAlignment="1">
      <alignment horizontal="right"/>
    </xf>
    <xf numFmtId="170" fontId="3" fillId="0" borderId="19" xfId="0" applyNumberFormat="1" applyFont="1" applyBorder="1"/>
    <xf numFmtId="169" fontId="3" fillId="0" borderId="21" xfId="2" applyNumberFormat="1" applyFont="1" applyFill="1" applyBorder="1" applyAlignment="1">
      <alignment horizontal="right"/>
    </xf>
    <xf numFmtId="4" fontId="3" fillId="0" borderId="13" xfId="0" applyNumberFormat="1" applyFont="1" applyBorder="1"/>
    <xf numFmtId="4" fontId="3" fillId="0" borderId="0" xfId="0" applyNumberFormat="1" applyFont="1"/>
    <xf numFmtId="4" fontId="3" fillId="0" borderId="14" xfId="0" applyNumberFormat="1" applyFont="1" applyBorder="1"/>
    <xf numFmtId="168" fontId="3" fillId="0" borderId="0" xfId="1" applyNumberFormat="1" applyFont="1" applyFill="1" applyBorder="1" applyProtection="1"/>
    <xf numFmtId="168" fontId="3" fillId="0" borderId="13" xfId="1" applyNumberFormat="1" applyFont="1" applyFill="1" applyBorder="1" applyProtection="1"/>
    <xf numFmtId="168" fontId="3" fillId="0" borderId="22" xfId="1" applyNumberFormat="1" applyFont="1" applyFill="1" applyBorder="1" applyProtection="1"/>
    <xf numFmtId="170" fontId="3" fillId="0" borderId="13" xfId="0" applyNumberFormat="1" applyFont="1" applyBorder="1"/>
    <xf numFmtId="169" fontId="3" fillId="0" borderId="14" xfId="2" applyNumberFormat="1" applyFont="1" applyBorder="1" applyAlignment="1" applyProtection="1">
      <alignment horizontal="right"/>
    </xf>
    <xf numFmtId="37" fontId="12" fillId="0" borderId="0" xfId="1" applyNumberFormat="1" applyFont="1" applyFill="1" applyBorder="1" applyProtection="1"/>
    <xf numFmtId="37" fontId="12" fillId="0" borderId="0" xfId="1" applyNumberFormat="1" applyFont="1" applyFill="1" applyProtection="1"/>
    <xf numFmtId="0" fontId="12" fillId="0" borderId="0" xfId="0" applyFont="1"/>
    <xf numFmtId="0" fontId="12" fillId="0" borderId="13" xfId="0" applyFont="1" applyBorder="1"/>
    <xf numFmtId="0" fontId="12" fillId="0" borderId="7" xfId="0" applyFont="1" applyBorder="1"/>
    <xf numFmtId="171" fontId="3" fillId="0" borderId="13" xfId="0" applyNumberFormat="1" applyFont="1" applyBorder="1"/>
    <xf numFmtId="169" fontId="3" fillId="0" borderId="14" xfId="2" applyNumberFormat="1" applyFont="1" applyBorder="1" applyAlignment="1">
      <alignment horizontal="right"/>
    </xf>
    <xf numFmtId="37" fontId="3" fillId="0" borderId="0" xfId="1" applyNumberFormat="1" applyFont="1" applyFill="1" applyProtection="1"/>
    <xf numFmtId="37" fontId="3" fillId="0" borderId="0" xfId="1" applyNumberFormat="1" applyFont="1" applyFill="1" applyAlignment="1" applyProtection="1">
      <alignment vertical="center"/>
    </xf>
    <xf numFmtId="171" fontId="3" fillId="0" borderId="7" xfId="0" applyNumberFormat="1" applyFont="1" applyBorder="1" applyAlignment="1">
      <alignment vertical="top"/>
    </xf>
    <xf numFmtId="171" fontId="3" fillId="0" borderId="13" xfId="0" applyNumberFormat="1" applyFont="1" applyBorder="1" applyAlignment="1">
      <alignment vertical="center"/>
    </xf>
    <xf numFmtId="37" fontId="3" fillId="7" borderId="0" xfId="1" applyNumberFormat="1" applyFont="1" applyFill="1" applyBorder="1" applyAlignment="1" applyProtection="1">
      <alignment vertical="center"/>
    </xf>
    <xf numFmtId="4" fontId="3" fillId="0" borderId="13" xfId="0" applyNumberFormat="1" applyFont="1" applyBorder="1" applyAlignment="1">
      <alignment horizontal="right" vertical="center"/>
    </xf>
    <xf numFmtId="37" fontId="3" fillId="7" borderId="0" xfId="1" applyNumberFormat="1" applyFont="1" applyFill="1" applyBorder="1" applyProtection="1"/>
    <xf numFmtId="169" fontId="3" fillId="0" borderId="14" xfId="2" applyNumberFormat="1" applyFont="1" applyFill="1" applyBorder="1" applyAlignment="1">
      <alignment horizontal="right"/>
    </xf>
    <xf numFmtId="166" fontId="3" fillId="0" borderId="14" xfId="0" applyNumberFormat="1" applyFont="1" applyBorder="1" applyAlignment="1">
      <alignment vertical="top"/>
    </xf>
    <xf numFmtId="4" fontId="3" fillId="0" borderId="19" xfId="1" applyNumberFormat="1" applyFont="1" applyBorder="1" applyProtection="1"/>
    <xf numFmtId="170" fontId="3" fillId="0" borderId="20" xfId="0" applyNumberFormat="1" applyFont="1" applyBorder="1" applyAlignment="1">
      <alignment horizontal="right" vertical="center"/>
    </xf>
    <xf numFmtId="170" fontId="3" fillId="0" borderId="23" xfId="0" applyNumberFormat="1" applyFont="1" applyBorder="1"/>
    <xf numFmtId="169" fontId="10" fillId="0" borderId="7" xfId="2" applyNumberFormat="1" applyFont="1" applyFill="1" applyBorder="1" applyAlignment="1">
      <alignment horizontal="right" vertical="center"/>
    </xf>
    <xf numFmtId="171" fontId="3" fillId="0" borderId="13" xfId="1" applyNumberFormat="1" applyFont="1" applyFill="1" applyBorder="1" applyProtection="1"/>
    <xf numFmtId="37" fontId="3" fillId="0" borderId="7" xfId="1" applyNumberFormat="1" applyFont="1" applyFill="1" applyBorder="1" applyProtection="1"/>
    <xf numFmtId="168" fontId="3" fillId="0" borderId="13" xfId="0" applyNumberFormat="1" applyFont="1" applyBorder="1" applyAlignment="1">
      <alignment vertical="top"/>
    </xf>
    <xf numFmtId="3" fontId="3" fillId="0" borderId="13" xfId="0" applyNumberFormat="1" applyFont="1" applyBorder="1" applyAlignment="1">
      <alignment vertical="top"/>
    </xf>
    <xf numFmtId="168" fontId="3" fillId="0" borderId="0" xfId="1" applyNumberFormat="1" applyFont="1" applyFill="1" applyProtection="1"/>
    <xf numFmtId="37" fontId="3" fillId="0" borderId="0" xfId="1" applyNumberFormat="1" applyFont="1" applyFill="1" applyProtection="1">
      <protection locked="0"/>
    </xf>
    <xf numFmtId="168" fontId="3" fillId="0" borderId="13" xfId="1" applyNumberFormat="1" applyFont="1" applyFill="1" applyBorder="1" applyAlignment="1" applyProtection="1">
      <alignment vertical="top"/>
    </xf>
    <xf numFmtId="168" fontId="3" fillId="7" borderId="0" xfId="1" applyNumberFormat="1" applyFont="1" applyFill="1" applyBorder="1" applyAlignment="1" applyProtection="1">
      <alignment vertical="top"/>
    </xf>
    <xf numFmtId="168" fontId="3" fillId="0" borderId="0" xfId="1" applyNumberFormat="1" applyFont="1" applyFill="1" applyBorder="1" applyAlignment="1" applyProtection="1">
      <alignment vertical="top"/>
    </xf>
    <xf numFmtId="0" fontId="3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/>
    </xf>
    <xf numFmtId="37" fontId="3" fillId="0" borderId="0" xfId="1" applyNumberFormat="1" applyFont="1" applyFill="1" applyBorder="1" applyAlignment="1" applyProtection="1">
      <alignment vertical="top"/>
    </xf>
    <xf numFmtId="37" fontId="3" fillId="0" borderId="13" xfId="1" applyNumberFormat="1" applyFont="1" applyFill="1" applyBorder="1" applyAlignment="1" applyProtection="1">
      <alignment vertical="top"/>
    </xf>
    <xf numFmtId="4" fontId="3" fillId="0" borderId="13" xfId="0" applyNumberFormat="1" applyFont="1" applyBorder="1" applyAlignment="1">
      <alignment horizontal="right" vertical="top"/>
    </xf>
    <xf numFmtId="6" fontId="3" fillId="0" borderId="20" xfId="1" applyNumberFormat="1" applyFont="1" applyFill="1" applyBorder="1" applyProtection="1"/>
    <xf numFmtId="37" fontId="3" fillId="0" borderId="13" xfId="1" applyNumberFormat="1" applyFont="1" applyFill="1" applyBorder="1" applyProtection="1">
      <protection locked="0"/>
    </xf>
    <xf numFmtId="37" fontId="3" fillId="0" borderId="0" xfId="1" applyNumberFormat="1" applyFont="1" applyFill="1" applyBorder="1" applyProtection="1">
      <protection locked="0"/>
    </xf>
    <xf numFmtId="37" fontId="3" fillId="0" borderId="24" xfId="1" applyNumberFormat="1" applyFont="1" applyFill="1" applyBorder="1" applyProtection="1"/>
    <xf numFmtId="37" fontId="3" fillId="0" borderId="25" xfId="1" applyNumberFormat="1" applyFont="1" applyFill="1" applyBorder="1" applyProtection="1"/>
    <xf numFmtId="168" fontId="3" fillId="0" borderId="7" xfId="1" applyNumberFormat="1" applyFont="1" applyFill="1" applyBorder="1" applyProtection="1"/>
    <xf numFmtId="37" fontId="3" fillId="0" borderId="20" xfId="1" applyNumberFormat="1" applyFont="1" applyFill="1" applyBorder="1" applyProtection="1">
      <protection locked="0"/>
    </xf>
    <xf numFmtId="168" fontId="3" fillId="0" borderId="0" xfId="1" applyNumberFormat="1" applyFont="1" applyFill="1" applyAlignment="1" applyProtection="1">
      <alignment vertical="center"/>
    </xf>
    <xf numFmtId="168" fontId="3" fillId="0" borderId="13" xfId="1" applyNumberFormat="1" applyFont="1" applyFill="1" applyBorder="1" applyAlignment="1" applyProtection="1">
      <alignment vertical="center"/>
    </xf>
    <xf numFmtId="168" fontId="3" fillId="7" borderId="0" xfId="1" applyNumberFormat="1" applyFont="1" applyFill="1" applyBorder="1" applyAlignment="1" applyProtection="1">
      <alignment vertical="center"/>
    </xf>
    <xf numFmtId="168" fontId="3" fillId="0" borderId="0" xfId="1" applyNumberFormat="1" applyFont="1" applyFill="1" applyBorder="1" applyAlignment="1" applyProtection="1">
      <alignment vertical="center"/>
    </xf>
    <xf numFmtId="170" fontId="3" fillId="0" borderId="13" xfId="0" applyNumberFormat="1" applyFont="1" applyBorder="1" applyAlignment="1">
      <alignment vertical="center"/>
    </xf>
    <xf numFmtId="166" fontId="3" fillId="0" borderId="14" xfId="0" applyNumberFormat="1" applyFont="1" applyBorder="1" applyAlignment="1">
      <alignment vertical="center"/>
    </xf>
    <xf numFmtId="37" fontId="3" fillId="0" borderId="0" xfId="1" applyNumberFormat="1" applyFont="1" applyFill="1" applyAlignment="1" applyProtection="1">
      <alignment vertical="center"/>
      <protection locked="0"/>
    </xf>
    <xf numFmtId="37" fontId="3" fillId="0" borderId="13" xfId="1" applyNumberFormat="1" applyFont="1" applyFill="1" applyBorder="1" applyAlignment="1" applyProtection="1">
      <alignment vertical="center"/>
      <protection locked="0"/>
    </xf>
    <xf numFmtId="37" fontId="3" fillId="7" borderId="0" xfId="1" applyNumberFormat="1" applyFont="1" applyFill="1" applyBorder="1" applyAlignment="1" applyProtection="1">
      <alignment vertical="center"/>
      <protection locked="0"/>
    </xf>
    <xf numFmtId="37" fontId="3" fillId="7" borderId="0" xfId="1" applyNumberFormat="1" applyFont="1" applyFill="1" applyBorder="1" applyProtection="1">
      <protection locked="0"/>
    </xf>
    <xf numFmtId="37" fontId="3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/>
    </xf>
    <xf numFmtId="4" fontId="4" fillId="0" borderId="13" xfId="0" applyNumberFormat="1" applyFont="1" applyBorder="1"/>
    <xf numFmtId="171" fontId="3" fillId="0" borderId="14" xfId="0" applyNumberFormat="1" applyFont="1" applyBorder="1"/>
    <xf numFmtId="171" fontId="3" fillId="0" borderId="7" xfId="0" applyNumberFormat="1" applyFont="1" applyBorder="1"/>
    <xf numFmtId="168" fontId="3" fillId="7" borderId="0" xfId="1" applyNumberFormat="1" applyFont="1" applyFill="1" applyBorder="1" applyProtection="1"/>
    <xf numFmtId="169" fontId="3" fillId="0" borderId="14" xfId="2" applyNumberFormat="1" applyFont="1" applyFill="1" applyBorder="1" applyAlignment="1">
      <alignment horizontal="right" vertical="top"/>
    </xf>
    <xf numFmtId="4" fontId="3" fillId="0" borderId="13" xfId="0" applyNumberFormat="1" applyFont="1" applyBorder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3" fillId="0" borderId="14" xfId="0" applyNumberFormat="1" applyFont="1" applyBorder="1" applyAlignment="1">
      <alignment horizontal="left" vertical="center"/>
    </xf>
    <xf numFmtId="37" fontId="3" fillId="0" borderId="0" xfId="1" applyNumberFormat="1" applyFont="1" applyFill="1" applyAlignment="1" applyProtection="1">
      <alignment horizontal="right" vertical="center"/>
      <protection locked="0"/>
    </xf>
    <xf numFmtId="37" fontId="3" fillId="0" borderId="13" xfId="1" applyNumberFormat="1" applyFont="1" applyFill="1" applyBorder="1" applyAlignment="1" applyProtection="1">
      <alignment horizontal="right" vertical="center"/>
      <protection locked="0"/>
    </xf>
    <xf numFmtId="37" fontId="3" fillId="0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left"/>
    </xf>
    <xf numFmtId="6" fontId="3" fillId="0" borderId="0" xfId="0" applyNumberFormat="1" applyFont="1"/>
    <xf numFmtId="171" fontId="3" fillId="0" borderId="0" xfId="0" applyNumberFormat="1" applyFont="1" applyAlignment="1">
      <alignment horizontal="right" vertical="center"/>
    </xf>
    <xf numFmtId="171" fontId="3" fillId="0" borderId="0" xfId="0" applyNumberFormat="1" applyFont="1"/>
    <xf numFmtId="3" fontId="3" fillId="0" borderId="0" xfId="0" applyNumberFormat="1" applyFont="1"/>
    <xf numFmtId="4" fontId="3" fillId="0" borderId="20" xfId="1" applyNumberFormat="1" applyFont="1" applyBorder="1" applyProtection="1"/>
    <xf numFmtId="4" fontId="3" fillId="0" borderId="12" xfId="0" applyNumberFormat="1" applyFont="1" applyBorder="1"/>
    <xf numFmtId="0" fontId="8" fillId="0" borderId="0" xfId="0" applyFont="1"/>
    <xf numFmtId="0" fontId="8" fillId="0" borderId="13" xfId="0" applyFont="1" applyBorder="1"/>
    <xf numFmtId="0" fontId="8" fillId="0" borderId="7" xfId="0" applyFont="1" applyBorder="1"/>
    <xf numFmtId="6" fontId="3" fillId="0" borderId="13" xfId="0" applyNumberFormat="1" applyFont="1" applyBorder="1"/>
    <xf numFmtId="37" fontId="3" fillId="0" borderId="0" xfId="1" applyNumberFormat="1" applyFont="1" applyFill="1" applyBorder="1" applyAlignment="1" applyProtection="1">
      <alignment vertical="top"/>
      <protection locked="0"/>
    </xf>
    <xf numFmtId="4" fontId="3" fillId="0" borderId="13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14" xfId="0" applyNumberFormat="1" applyFont="1" applyBorder="1" applyAlignment="1">
      <alignment vertical="top"/>
    </xf>
    <xf numFmtId="37" fontId="3" fillId="0" borderId="13" xfId="1" applyNumberFormat="1" applyFont="1" applyFill="1" applyBorder="1" applyAlignment="1" applyProtection="1">
      <alignment vertical="top"/>
      <protection locked="0"/>
    </xf>
    <xf numFmtId="37" fontId="3" fillId="0" borderId="0" xfId="1" applyNumberFormat="1" applyFont="1" applyFill="1" applyAlignment="1" applyProtection="1">
      <alignment vertical="top"/>
      <protection locked="0"/>
    </xf>
    <xf numFmtId="37" fontId="3" fillId="7" borderId="0" xfId="1" applyNumberFormat="1" applyFont="1" applyFill="1" applyBorder="1" applyAlignment="1" applyProtection="1">
      <alignment vertical="top"/>
      <protection locked="0"/>
    </xf>
    <xf numFmtId="0" fontId="14" fillId="0" borderId="0" xfId="0" applyFont="1"/>
    <xf numFmtId="0" fontId="14" fillId="0" borderId="13" xfId="0" applyFont="1" applyBorder="1"/>
    <xf numFmtId="169" fontId="10" fillId="0" borderId="11" xfId="2" applyNumberFormat="1" applyFont="1" applyFill="1" applyBorder="1" applyAlignment="1">
      <alignment horizontal="right"/>
    </xf>
    <xf numFmtId="169" fontId="10" fillId="0" borderId="7" xfId="2" applyNumberFormat="1" applyFont="1" applyFill="1" applyBorder="1" applyAlignment="1">
      <alignment horizontal="right"/>
    </xf>
    <xf numFmtId="171" fontId="14" fillId="0" borderId="13" xfId="0" applyNumberFormat="1" applyFont="1" applyBorder="1"/>
    <xf numFmtId="169" fontId="3" fillId="0" borderId="14" xfId="2" applyNumberFormat="1" applyFont="1" applyFill="1" applyBorder="1"/>
    <xf numFmtId="171" fontId="15" fillId="0" borderId="13" xfId="0" applyNumberFormat="1" applyFont="1" applyBorder="1"/>
    <xf numFmtId="169" fontId="10" fillId="0" borderId="24" xfId="2" applyNumberFormat="1" applyFont="1" applyFill="1" applyBorder="1" applyAlignment="1">
      <alignment horizontal="right"/>
    </xf>
    <xf numFmtId="4" fontId="3" fillId="0" borderId="13" xfId="1" applyNumberFormat="1" applyFont="1" applyBorder="1" applyProtection="1"/>
    <xf numFmtId="4" fontId="3" fillId="0" borderId="0" xfId="1" applyNumberFormat="1" applyFont="1" applyBorder="1" applyProtection="1"/>
    <xf numFmtId="170" fontId="3" fillId="0" borderId="7" xfId="0" applyNumberFormat="1" applyFont="1" applyBorder="1"/>
    <xf numFmtId="40" fontId="3" fillId="0" borderId="13" xfId="0" applyNumberFormat="1" applyFont="1" applyBorder="1"/>
    <xf numFmtId="40" fontId="3" fillId="0" borderId="0" xfId="0" applyNumberFormat="1" applyFont="1"/>
    <xf numFmtId="38" fontId="3" fillId="0" borderId="14" xfId="1" applyNumberFormat="1" applyFont="1" applyFill="1" applyBorder="1" applyAlignment="1" applyProtection="1">
      <alignment horizontal="right" vertical="center"/>
    </xf>
    <xf numFmtId="0" fontId="14" fillId="0" borderId="14" xfId="0" applyFont="1" applyBorder="1"/>
    <xf numFmtId="171" fontId="14" fillId="0" borderId="14" xfId="0" applyNumberFormat="1" applyFont="1" applyBorder="1"/>
    <xf numFmtId="0" fontId="16" fillId="0" borderId="0" xfId="0" applyFont="1"/>
    <xf numFmtId="0" fontId="16" fillId="0" borderId="13" xfId="0" applyFont="1" applyBorder="1"/>
    <xf numFmtId="4" fontId="3" fillId="0" borderId="26" xfId="1" applyNumberFormat="1" applyFont="1" applyBorder="1" applyProtection="1"/>
    <xf numFmtId="4" fontId="3" fillId="0" borderId="27" xfId="1" applyNumberFormat="1" applyFont="1" applyBorder="1" applyProtection="1"/>
    <xf numFmtId="166" fontId="3" fillId="0" borderId="28" xfId="0" applyNumberFormat="1" applyFont="1" applyBorder="1"/>
    <xf numFmtId="168" fontId="3" fillId="0" borderId="27" xfId="1" applyNumberFormat="1" applyFont="1" applyFill="1" applyBorder="1" applyProtection="1"/>
    <xf numFmtId="170" fontId="3" fillId="0" borderId="27" xfId="0" applyNumberFormat="1" applyFont="1" applyBorder="1" applyAlignment="1">
      <alignment horizontal="right" vertical="center"/>
    </xf>
    <xf numFmtId="6" fontId="3" fillId="0" borderId="27" xfId="1" applyNumberFormat="1" applyFont="1" applyFill="1" applyBorder="1" applyProtection="1"/>
    <xf numFmtId="168" fontId="3" fillId="0" borderId="26" xfId="1" applyNumberFormat="1" applyFont="1" applyFill="1" applyBorder="1" applyProtection="1"/>
    <xf numFmtId="169" fontId="10" fillId="0" borderId="27" xfId="2" applyNumberFormat="1" applyFont="1" applyFill="1" applyBorder="1" applyAlignment="1">
      <alignment horizontal="right"/>
    </xf>
    <xf numFmtId="170" fontId="3" fillId="0" borderId="29" xfId="0" applyNumberFormat="1" applyFont="1" applyBorder="1"/>
    <xf numFmtId="173" fontId="4" fillId="0" borderId="0" xfId="1" applyNumberFormat="1" applyFont="1" applyFill="1" applyProtection="1"/>
    <xf numFmtId="0" fontId="17" fillId="0" borderId="0" xfId="0" applyFont="1"/>
    <xf numFmtId="169" fontId="3" fillId="0" borderId="11" xfId="0" applyNumberFormat="1" applyFont="1" applyBorder="1"/>
  </cellXfs>
  <cellStyles count="5">
    <cellStyle name="Comma" xfId="1" builtinId="3"/>
    <cellStyle name="Currency 2" xfId="3" xr:uid="{9CBD1666-D483-4067-AC64-04CE94E6176A}"/>
    <cellStyle name="Normal" xfId="0" builtinId="0"/>
    <cellStyle name="Normal 2" xfId="4" xr:uid="{2DF95737-1D22-47EB-9442-AA4F59143B6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bed-my.sharepoint.com/personal/shawn_tracey_nbed_nb_ca/Documents/_migrated_Aug_9-2023/Yr%202026-2027/Budget/Expenditure%20Plan%20and%20Final%20Report/District%20Expenditure%20Plan%2026-27%20Preliminary.xlsx" TargetMode="External"/><Relationship Id="rId1" Type="http://schemas.openxmlformats.org/officeDocument/2006/relationships/externalLinkPath" Target="District%20Expenditure%20Plan%2026-27%20Prelimin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erating Results"/>
      <sheetName val="EA SA"/>
      <sheetName val="SAA"/>
      <sheetName val="LA"/>
      <sheetName val="Maint Veh"/>
      <sheetName val="Heating Fuel"/>
      <sheetName val="Natural Gas"/>
      <sheetName val="Bus Ops"/>
      <sheetName val="2021-22"/>
      <sheetName val="Actuals 2020-21"/>
    </sheetNames>
    <sheetDataSet>
      <sheetData sheetId="0">
        <row r="27">
          <cell r="Q27">
            <v>7783169.04</v>
          </cell>
        </row>
        <row r="40">
          <cell r="Q40">
            <v>987426.53</v>
          </cell>
        </row>
        <row r="48">
          <cell r="Q48">
            <v>106003.93</v>
          </cell>
        </row>
        <row r="94">
          <cell r="Q94">
            <v>8261.1200000000008</v>
          </cell>
        </row>
        <row r="96">
          <cell r="Q96">
            <v>153159.62</v>
          </cell>
        </row>
        <row r="97">
          <cell r="Q97">
            <v>75862.37</v>
          </cell>
        </row>
      </sheetData>
      <sheetData sheetId="1">
        <row r="25">
          <cell r="B25">
            <v>34799072.374799997</v>
          </cell>
        </row>
      </sheetData>
      <sheetData sheetId="2">
        <row r="125">
          <cell r="P125">
            <v>4669450.9499999974</v>
          </cell>
        </row>
      </sheetData>
      <sheetData sheetId="3">
        <row r="31">
          <cell r="P31">
            <v>143553.88599999997</v>
          </cell>
        </row>
      </sheetData>
      <sheetData sheetId="4">
        <row r="31">
          <cell r="O31">
            <v>707850.3069999998</v>
          </cell>
        </row>
      </sheetData>
      <sheetData sheetId="5">
        <row r="33">
          <cell r="AC33">
            <v>847574.99687811197</v>
          </cell>
        </row>
      </sheetData>
      <sheetData sheetId="6">
        <row r="373">
          <cell r="N373">
            <v>665387.65084133821</v>
          </cell>
        </row>
      </sheetData>
      <sheetData sheetId="7">
        <row r="39">
          <cell r="O39">
            <v>7181200.29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2C66-3817-44A5-947A-08116C79E602}">
  <dimension ref="A1:W170"/>
  <sheetViews>
    <sheetView tabSelected="1" topLeftCell="A55" zoomScaleNormal="100" workbookViewId="0">
      <selection activeCell="A158" sqref="A158:A162"/>
    </sheetView>
  </sheetViews>
  <sheetFormatPr defaultColWidth="8.265625" defaultRowHeight="12.75" outlineLevelRow="1" x14ac:dyDescent="0.35"/>
  <cols>
    <col min="1" max="1" width="15.19921875" style="10" customWidth="1"/>
    <col min="2" max="2" width="20.265625" style="10" customWidth="1"/>
    <col min="3" max="3" width="19.46484375" style="10" customWidth="1"/>
    <col min="4" max="4" width="10.265625" style="10" customWidth="1"/>
    <col min="5" max="5" width="10.1328125" style="10" hidden="1" customWidth="1"/>
    <col min="6" max="6" width="8.9296875" style="10" hidden="1" customWidth="1"/>
    <col min="7" max="7" width="9.86328125" style="10" hidden="1" customWidth="1"/>
    <col min="8" max="11" width="13.33203125" style="10" customWidth="1"/>
    <col min="12" max="12" width="11.46484375" style="10" customWidth="1"/>
    <col min="13" max="13" width="13.46484375" style="10" customWidth="1"/>
    <col min="14" max="14" width="13.46484375" style="10" bestFit="1" customWidth="1"/>
    <col min="15" max="15" width="12.19921875" style="10" bestFit="1" customWidth="1"/>
    <col min="16" max="16" width="13.46484375" style="10" bestFit="1" customWidth="1"/>
    <col min="17" max="17" width="12.3984375" style="10" bestFit="1" customWidth="1"/>
    <col min="18" max="19" width="13.46484375" style="10" bestFit="1" customWidth="1"/>
    <col min="20" max="20" width="8.53125" style="10" customWidth="1"/>
    <col min="21" max="21" width="9.33203125" style="10" hidden="1" customWidth="1"/>
    <col min="22" max="22" width="14" style="10" bestFit="1" customWidth="1"/>
    <col min="23" max="23" width="11" style="10" bestFit="1" customWidth="1"/>
    <col min="24" max="16384" width="8.265625" style="10"/>
  </cols>
  <sheetData>
    <row r="1" spans="1:23" s="5" customFormat="1" ht="13.15" x14ac:dyDescent="0.4">
      <c r="A1" s="1"/>
      <c r="B1" s="2"/>
      <c r="C1" s="2"/>
      <c r="D1" s="2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 ht="15" x14ac:dyDescent="0.4">
      <c r="A2" s="4"/>
      <c r="B2" s="2"/>
      <c r="C2" s="2"/>
      <c r="D2" s="6"/>
      <c r="E2" s="3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5" customFormat="1" ht="13.15" x14ac:dyDescent="0.4">
      <c r="A3" s="7"/>
      <c r="B3" s="2"/>
      <c r="C3" s="2"/>
      <c r="D3" s="2"/>
      <c r="E3" s="8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s="5" customFormat="1" ht="15" customHeight="1" x14ac:dyDescent="0.4">
      <c r="A4" s="9"/>
      <c r="B4" s="4"/>
      <c r="C4" s="4"/>
      <c r="D4" s="4"/>
      <c r="F4" s="4"/>
      <c r="G4" s="4"/>
      <c r="H4" s="4"/>
      <c r="I4" s="4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</row>
    <row r="5" spans="1:23" s="5" customFormat="1" ht="15.75" customHeight="1" thickBot="1" x14ac:dyDescent="0.45">
      <c r="A5" s="4" t="s">
        <v>3</v>
      </c>
      <c r="B5" s="11"/>
      <c r="C5" s="11"/>
      <c r="D5" s="11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3"/>
      <c r="Q5" s="14"/>
      <c r="R5" s="14"/>
      <c r="S5" s="14"/>
      <c r="T5" s="14"/>
      <c r="U5" s="14"/>
    </row>
    <row r="6" spans="1:23" s="5" customFormat="1" x14ac:dyDescent="0.35">
      <c r="A6" s="15" t="s">
        <v>4</v>
      </c>
      <c r="B6" s="15" t="s">
        <v>5</v>
      </c>
      <c r="C6" s="15"/>
      <c r="D6" s="15"/>
      <c r="E6" s="16" t="s">
        <v>6</v>
      </c>
      <c r="F6" s="17"/>
      <c r="G6" s="18"/>
      <c r="H6" s="19" t="s">
        <v>7</v>
      </c>
      <c r="I6" s="20"/>
      <c r="J6" s="20"/>
      <c r="K6" s="20"/>
      <c r="L6" s="20"/>
      <c r="M6" s="20"/>
      <c r="N6" s="20"/>
      <c r="O6" s="20"/>
      <c r="P6" s="21"/>
      <c r="Q6" s="22" t="s">
        <v>8</v>
      </c>
      <c r="R6" s="23"/>
      <c r="S6" s="23"/>
      <c r="T6" s="23"/>
      <c r="U6" s="24" t="s">
        <v>9</v>
      </c>
      <c r="V6" s="25" t="s">
        <v>10</v>
      </c>
      <c r="W6" s="26"/>
    </row>
    <row r="7" spans="1:23" s="5" customFormat="1" x14ac:dyDescent="0.35">
      <c r="A7" s="10"/>
      <c r="B7" s="10"/>
      <c r="C7" s="10"/>
      <c r="D7" s="10"/>
      <c r="E7" s="27" t="s">
        <v>11</v>
      </c>
      <c r="F7" s="28" t="s">
        <v>12</v>
      </c>
      <c r="G7" s="29" t="s">
        <v>13</v>
      </c>
      <c r="H7" s="30" t="s">
        <v>14</v>
      </c>
      <c r="I7" s="31" t="s">
        <v>15</v>
      </c>
      <c r="J7" s="31" t="s">
        <v>9</v>
      </c>
      <c r="K7" s="32" t="s">
        <v>16</v>
      </c>
      <c r="L7" s="32" t="s">
        <v>17</v>
      </c>
      <c r="M7" s="33" t="s">
        <v>18</v>
      </c>
      <c r="N7" s="34" t="s">
        <v>16</v>
      </c>
      <c r="O7" s="34" t="s">
        <v>17</v>
      </c>
      <c r="P7" s="33" t="s">
        <v>19</v>
      </c>
      <c r="Q7" s="35" t="s">
        <v>20</v>
      </c>
      <c r="R7" s="36" t="s">
        <v>21</v>
      </c>
      <c r="S7" s="36" t="s">
        <v>22</v>
      </c>
      <c r="T7" s="28" t="s">
        <v>23</v>
      </c>
      <c r="U7" s="37" t="s">
        <v>24</v>
      </c>
      <c r="V7" s="35" t="s">
        <v>25</v>
      </c>
      <c r="W7" s="38" t="s">
        <v>26</v>
      </c>
    </row>
    <row r="8" spans="1:23" s="5" customFormat="1" x14ac:dyDescent="0.35">
      <c r="A8" s="10"/>
      <c r="B8" s="39"/>
      <c r="C8" s="39"/>
      <c r="D8" s="39"/>
      <c r="E8" s="40"/>
      <c r="F8" s="31"/>
      <c r="G8" s="41" t="s">
        <v>27</v>
      </c>
      <c r="H8" s="30" t="s">
        <v>28</v>
      </c>
      <c r="I8" s="36" t="s">
        <v>29</v>
      </c>
      <c r="J8" s="36"/>
      <c r="K8" s="42" t="s">
        <v>30</v>
      </c>
      <c r="L8" s="42" t="s">
        <v>31</v>
      </c>
      <c r="M8" s="43" t="s">
        <v>7</v>
      </c>
      <c r="N8" s="44" t="s">
        <v>30</v>
      </c>
      <c r="O8" s="44" t="s">
        <v>31</v>
      </c>
      <c r="P8" s="43" t="s">
        <v>7</v>
      </c>
      <c r="Q8" s="45">
        <v>46173</v>
      </c>
      <c r="R8" s="36"/>
      <c r="S8" s="36"/>
      <c r="T8" s="38" t="s">
        <v>32</v>
      </c>
      <c r="U8" s="37" t="s">
        <v>33</v>
      </c>
      <c r="V8" s="46"/>
      <c r="W8" s="38"/>
    </row>
    <row r="9" spans="1:23" s="5" customFormat="1" ht="15.75" customHeight="1" thickBot="1" x14ac:dyDescent="0.4">
      <c r="A9" s="47"/>
      <c r="B9" s="47"/>
      <c r="C9" s="47"/>
      <c r="D9" s="48"/>
      <c r="E9" s="49">
        <v>44742</v>
      </c>
      <c r="F9" s="50"/>
      <c r="G9" s="51"/>
      <c r="H9" s="52"/>
      <c r="I9" s="50" t="s">
        <v>34</v>
      </c>
      <c r="J9" s="50"/>
      <c r="K9" s="53" t="s">
        <v>35</v>
      </c>
      <c r="L9" s="53" t="s">
        <v>35</v>
      </c>
      <c r="M9" s="54"/>
      <c r="N9" s="55" t="s">
        <v>36</v>
      </c>
      <c r="O9" s="55" t="s">
        <v>36</v>
      </c>
      <c r="P9" s="56">
        <v>46477</v>
      </c>
      <c r="Q9" s="57"/>
      <c r="R9" s="58"/>
      <c r="S9" s="58"/>
      <c r="T9" s="58"/>
      <c r="U9" s="59" t="s">
        <v>37</v>
      </c>
      <c r="V9" s="60"/>
      <c r="W9" s="61"/>
    </row>
    <row r="10" spans="1:23" ht="13.15" x14ac:dyDescent="0.4">
      <c r="A10" s="9"/>
      <c r="E10" s="62"/>
      <c r="G10" s="63"/>
      <c r="H10" s="64"/>
      <c r="I10" s="9"/>
      <c r="J10" s="9"/>
      <c r="K10" s="9"/>
      <c r="L10" s="9"/>
      <c r="M10" s="9"/>
      <c r="N10" s="9"/>
      <c r="O10" s="9"/>
      <c r="P10" s="9"/>
      <c r="Q10" s="65"/>
      <c r="R10" s="9"/>
      <c r="S10" s="9"/>
      <c r="T10" s="66"/>
      <c r="U10" s="67"/>
      <c r="V10" s="64"/>
      <c r="W10" s="63"/>
    </row>
    <row r="11" spans="1:23" ht="13.35" hidden="1" customHeight="1" outlineLevel="1" x14ac:dyDescent="0.4">
      <c r="A11" s="70" t="s">
        <v>38</v>
      </c>
      <c r="E11" s="64"/>
      <c r="G11" s="69"/>
      <c r="H11" s="64"/>
      <c r="I11" s="9"/>
      <c r="J11" s="9"/>
      <c r="K11" s="9"/>
      <c r="L11" s="9"/>
      <c r="M11" s="9"/>
      <c r="N11" s="9"/>
      <c r="O11" s="9"/>
      <c r="P11" s="9"/>
      <c r="Q11" s="65"/>
      <c r="R11" s="9"/>
      <c r="S11" s="9"/>
      <c r="U11" s="68"/>
      <c r="V11" s="64"/>
      <c r="W11" s="69"/>
    </row>
    <row r="12" spans="1:23" s="84" customFormat="1" ht="13.35" hidden="1" customHeight="1" outlineLevel="1" x14ac:dyDescent="0.35">
      <c r="A12" s="71" t="s">
        <v>39</v>
      </c>
      <c r="B12" s="71" t="s">
        <v>40</v>
      </c>
      <c r="C12" s="71"/>
      <c r="D12" s="72" t="s">
        <v>41</v>
      </c>
      <c r="E12" s="73"/>
      <c r="F12" s="74">
        <v>1729.93</v>
      </c>
      <c r="G12" s="75">
        <f>E12-F12</f>
        <v>-1729.93</v>
      </c>
      <c r="H12" s="76">
        <v>192288900</v>
      </c>
      <c r="I12" s="77">
        <v>192288900</v>
      </c>
      <c r="J12" s="78">
        <f>I12-H12</f>
        <v>0</v>
      </c>
      <c r="K12" s="79"/>
      <c r="L12" s="79">
        <v>0</v>
      </c>
      <c r="M12" s="77">
        <f>K12+L12</f>
        <v>0</v>
      </c>
      <c r="N12" s="77">
        <v>192288900</v>
      </c>
      <c r="O12" s="77"/>
      <c r="P12" s="77">
        <f t="shared" ref="P12:P20" si="0">M12+N12+O12</f>
        <v>192288900</v>
      </c>
      <c r="Q12" s="76">
        <f>20579.64+12133.49+33312993.72+261087.51</f>
        <v>33606794.359999999</v>
      </c>
      <c r="R12" s="80">
        <f>187443220-Q12+468584</f>
        <v>154305009.63999999</v>
      </c>
      <c r="S12" s="77">
        <f>SUM(Q12:R12)</f>
        <v>187911804</v>
      </c>
      <c r="T12" s="81">
        <f>IF(ISERR(Q12/S12),"-",Q12/S12)</f>
        <v>0.17884344487480947</v>
      </c>
      <c r="U12" s="82">
        <f t="shared" ref="U12:U21" si="1">S12-I12</f>
        <v>-4377096</v>
      </c>
      <c r="V12" s="82">
        <f>P12-S12</f>
        <v>4377096</v>
      </c>
      <c r="W12" s="83">
        <f>IF(ISERR(V12/P12),"-",V12/P12)</f>
        <v>2.2763123612439408E-2</v>
      </c>
    </row>
    <row r="13" spans="1:23" s="84" customFormat="1" ht="13.35" hidden="1" customHeight="1" outlineLevel="1" x14ac:dyDescent="0.35">
      <c r="A13" s="71"/>
      <c r="B13" s="71"/>
      <c r="C13" s="71"/>
      <c r="D13" s="72" t="s">
        <v>42</v>
      </c>
      <c r="E13" s="73"/>
      <c r="F13" s="74">
        <v>1710.82</v>
      </c>
      <c r="G13" s="75">
        <f>E13-F13</f>
        <v>-1710.82</v>
      </c>
      <c r="H13" s="76"/>
      <c r="I13" s="77"/>
      <c r="J13" s="85"/>
      <c r="K13" s="10"/>
      <c r="L13" s="10"/>
      <c r="M13" s="77"/>
      <c r="N13" s="77"/>
      <c r="O13" s="77"/>
      <c r="P13" s="86"/>
      <c r="Q13" s="76"/>
      <c r="R13" s="77"/>
      <c r="S13" s="77"/>
      <c r="T13" s="81"/>
      <c r="U13" s="87"/>
      <c r="V13" s="87"/>
      <c r="W13" s="83"/>
    </row>
    <row r="14" spans="1:23" s="36" customFormat="1" ht="13.35" hidden="1" customHeight="1" outlineLevel="1" x14ac:dyDescent="0.35">
      <c r="A14" s="88" t="s">
        <v>43</v>
      </c>
      <c r="B14" s="88" t="s">
        <v>44</v>
      </c>
      <c r="C14" s="89"/>
      <c r="D14" s="89"/>
      <c r="E14" s="90"/>
      <c r="F14" s="91"/>
      <c r="G14" s="92"/>
      <c r="H14" s="93">
        <v>5823700</v>
      </c>
      <c r="I14" s="94">
        <v>5823700</v>
      </c>
      <c r="J14" s="95">
        <f>I14-H14</f>
        <v>0</v>
      </c>
      <c r="K14" s="10"/>
      <c r="L14" s="10"/>
      <c r="M14" s="86">
        <f>K14+L14</f>
        <v>0</v>
      </c>
      <c r="N14" s="86">
        <v>5823700</v>
      </c>
      <c r="O14" s="86"/>
      <c r="P14" s="86">
        <f t="shared" si="0"/>
        <v>5823700</v>
      </c>
      <c r="Q14" s="96">
        <v>2114095.5</v>
      </c>
      <c r="R14" s="97">
        <f>8524000-Q14</f>
        <v>6409904.5</v>
      </c>
      <c r="S14" s="98">
        <f>SUM(Q14:R14)</f>
        <v>8524000</v>
      </c>
      <c r="T14" s="99">
        <f t="shared" ref="T14:T22" si="2">IF(ISERR(Q14/S14),"-",Q14/S14)</f>
        <v>0.24801683481933365</v>
      </c>
      <c r="U14" s="100">
        <f t="shared" si="1"/>
        <v>2700300</v>
      </c>
      <c r="V14" s="100">
        <f t="shared" ref="V14:V21" si="3">P14-S14</f>
        <v>-2700300</v>
      </c>
      <c r="W14" s="83">
        <f>IF(ISERR(V14/P14),"-",V14/P14)</f>
        <v>-0.46367429640949914</v>
      </c>
    </row>
    <row r="15" spans="1:23" s="101" customFormat="1" ht="13.35" hidden="1" customHeight="1" outlineLevel="1" x14ac:dyDescent="0.35">
      <c r="A15" s="71" t="s">
        <v>45</v>
      </c>
      <c r="B15" s="71" t="s">
        <v>46</v>
      </c>
      <c r="E15" s="102"/>
      <c r="F15" s="103"/>
      <c r="G15" s="104"/>
      <c r="H15" s="93"/>
      <c r="I15" s="94"/>
      <c r="J15" s="95">
        <f t="shared" ref="J15:J21" si="4">I15-H15</f>
        <v>0</v>
      </c>
      <c r="K15" s="10"/>
      <c r="L15" s="10"/>
      <c r="M15" s="86">
        <f t="shared" ref="M15:M21" si="5">K15+L15</f>
        <v>0</v>
      </c>
      <c r="N15" s="86"/>
      <c r="O15" s="86"/>
      <c r="P15" s="86">
        <f t="shared" si="0"/>
        <v>0</v>
      </c>
      <c r="Q15" s="96"/>
      <c r="R15" s="105"/>
      <c r="S15" s="98">
        <f t="shared" ref="S15:S21" si="6">SUM(Q15:R15)</f>
        <v>0</v>
      </c>
      <c r="T15" s="99" t="str">
        <f t="shared" si="2"/>
        <v>-</v>
      </c>
      <c r="U15" s="100">
        <f t="shared" si="1"/>
        <v>0</v>
      </c>
      <c r="V15" s="100">
        <f t="shared" si="3"/>
        <v>0</v>
      </c>
      <c r="W15" s="83" t="str">
        <f t="shared" ref="W15:W22" si="7">IF(ISERR(V15/P15),"-",V15/P15)</f>
        <v>-</v>
      </c>
    </row>
    <row r="16" spans="1:23" s="101" customFormat="1" ht="13.35" hidden="1" customHeight="1" outlineLevel="1" x14ac:dyDescent="0.35">
      <c r="A16" s="71" t="s">
        <v>47</v>
      </c>
      <c r="B16" s="71" t="s">
        <v>48</v>
      </c>
      <c r="E16" s="102"/>
      <c r="F16" s="103"/>
      <c r="G16" s="104"/>
      <c r="H16" s="93">
        <v>2534400</v>
      </c>
      <c r="I16" s="94">
        <f>2534400+375000</f>
        <v>2909400</v>
      </c>
      <c r="J16" s="95">
        <f t="shared" si="4"/>
        <v>375000</v>
      </c>
      <c r="K16" s="10"/>
      <c r="L16" s="10"/>
      <c r="M16" s="86">
        <f t="shared" si="5"/>
        <v>0</v>
      </c>
      <c r="N16" s="86">
        <v>2534400</v>
      </c>
      <c r="O16" s="86">
        <v>375000</v>
      </c>
      <c r="P16" s="86">
        <f t="shared" si="0"/>
        <v>2909400</v>
      </c>
      <c r="Q16" s="96">
        <f>266503.12+128.99</f>
        <v>266632.11</v>
      </c>
      <c r="R16" s="105">
        <f>P16-Q16</f>
        <v>2642767.89</v>
      </c>
      <c r="S16" s="98">
        <f t="shared" si="6"/>
        <v>2909400</v>
      </c>
      <c r="T16" s="99">
        <f t="shared" si="2"/>
        <v>9.1645050525881622E-2</v>
      </c>
      <c r="U16" s="100">
        <f t="shared" si="1"/>
        <v>0</v>
      </c>
      <c r="V16" s="100">
        <f t="shared" si="3"/>
        <v>0</v>
      </c>
      <c r="W16" s="83">
        <f t="shared" si="7"/>
        <v>0</v>
      </c>
    </row>
    <row r="17" spans="1:23" s="101" customFormat="1" ht="13.35" hidden="1" customHeight="1" outlineLevel="1" x14ac:dyDescent="0.35">
      <c r="A17" s="71" t="s">
        <v>45</v>
      </c>
      <c r="B17" s="71" t="s">
        <v>49</v>
      </c>
      <c r="E17" s="102"/>
      <c r="F17" s="103"/>
      <c r="G17" s="104"/>
      <c r="H17" s="93">
        <f>10500+19500+7500+1500+1500+1500+10000</f>
        <v>52000</v>
      </c>
      <c r="I17" s="94">
        <v>52000</v>
      </c>
      <c r="J17" s="95">
        <f t="shared" si="4"/>
        <v>0</v>
      </c>
      <c r="K17" s="10"/>
      <c r="L17" s="10"/>
      <c r="M17" s="86">
        <f t="shared" si="5"/>
        <v>0</v>
      </c>
      <c r="N17" s="86">
        <v>52000</v>
      </c>
      <c r="O17" s="86"/>
      <c r="P17" s="86">
        <f t="shared" si="0"/>
        <v>52000</v>
      </c>
      <c r="Q17" s="96">
        <v>69009.89</v>
      </c>
      <c r="R17" s="105">
        <f>1000000-Q17</f>
        <v>930990.11</v>
      </c>
      <c r="S17" s="98">
        <f t="shared" si="6"/>
        <v>1000000</v>
      </c>
      <c r="T17" s="99">
        <f t="shared" si="2"/>
        <v>6.9009890000000004E-2</v>
      </c>
      <c r="U17" s="100">
        <f t="shared" si="1"/>
        <v>948000</v>
      </c>
      <c r="V17" s="100">
        <f t="shared" si="3"/>
        <v>-948000</v>
      </c>
      <c r="W17" s="83">
        <f t="shared" si="7"/>
        <v>-18.23076923076923</v>
      </c>
    </row>
    <row r="18" spans="1:23" ht="13.35" hidden="1" customHeight="1" outlineLevel="1" x14ac:dyDescent="0.35">
      <c r="A18" s="39" t="s">
        <v>50</v>
      </c>
      <c r="B18" s="39" t="s">
        <v>51</v>
      </c>
      <c r="E18" s="106"/>
      <c r="F18" s="107"/>
      <c r="G18" s="108"/>
      <c r="H18" s="109">
        <v>735800</v>
      </c>
      <c r="I18" s="94">
        <v>735800</v>
      </c>
      <c r="J18" s="95">
        <f t="shared" si="4"/>
        <v>0</v>
      </c>
      <c r="K18" s="110"/>
      <c r="L18" s="110"/>
      <c r="M18" s="86">
        <f t="shared" si="5"/>
        <v>0</v>
      </c>
      <c r="N18" s="86">
        <v>735800</v>
      </c>
      <c r="O18" s="86"/>
      <c r="P18" s="86">
        <f t="shared" si="0"/>
        <v>735800</v>
      </c>
      <c r="Q18" s="111">
        <v>316995.68</v>
      </c>
      <c r="R18" s="110">
        <f>P18-Q18</f>
        <v>418804.32</v>
      </c>
      <c r="S18" s="98">
        <f t="shared" si="6"/>
        <v>735800</v>
      </c>
      <c r="T18" s="99">
        <f t="shared" si="2"/>
        <v>0.4308177222071215</v>
      </c>
      <c r="U18" s="100">
        <f t="shared" si="1"/>
        <v>0</v>
      </c>
      <c r="V18" s="100">
        <f t="shared" si="3"/>
        <v>0</v>
      </c>
      <c r="W18" s="83">
        <f t="shared" si="7"/>
        <v>0</v>
      </c>
    </row>
    <row r="19" spans="1:23" ht="13.35" hidden="1" customHeight="1" outlineLevel="1" x14ac:dyDescent="0.35">
      <c r="A19" s="39" t="s">
        <v>52</v>
      </c>
      <c r="B19" s="39" t="s">
        <v>53</v>
      </c>
      <c r="E19" s="106"/>
      <c r="F19" s="107"/>
      <c r="G19" s="108"/>
      <c r="H19" s="109"/>
      <c r="I19" s="94">
        <v>75000</v>
      </c>
      <c r="J19" s="95">
        <f t="shared" si="4"/>
        <v>75000</v>
      </c>
      <c r="K19" s="110"/>
      <c r="L19" s="110"/>
      <c r="M19" s="86">
        <f t="shared" si="5"/>
        <v>0</v>
      </c>
      <c r="N19" s="86"/>
      <c r="O19" s="86">
        <v>75000</v>
      </c>
      <c r="P19" s="86">
        <f t="shared" si="0"/>
        <v>75000</v>
      </c>
      <c r="Q19" s="111">
        <v>5317.83</v>
      </c>
      <c r="R19" s="110">
        <f>75000-Q19</f>
        <v>69682.17</v>
      </c>
      <c r="S19" s="98">
        <f t="shared" si="6"/>
        <v>75000</v>
      </c>
      <c r="T19" s="99">
        <f t="shared" si="2"/>
        <v>7.0904399999999992E-2</v>
      </c>
      <c r="U19" s="100">
        <f t="shared" si="1"/>
        <v>0</v>
      </c>
      <c r="V19" s="100">
        <f t="shared" si="3"/>
        <v>0</v>
      </c>
      <c r="W19" s="83">
        <f t="shared" si="7"/>
        <v>0</v>
      </c>
    </row>
    <row r="20" spans="1:23" ht="13.35" hidden="1" customHeight="1" outlineLevel="1" x14ac:dyDescent="0.35">
      <c r="A20" s="39" t="s">
        <v>54</v>
      </c>
      <c r="B20" s="39" t="s">
        <v>55</v>
      </c>
      <c r="E20" s="106"/>
      <c r="F20" s="107"/>
      <c r="G20" s="108"/>
      <c r="H20" s="109">
        <v>224600</v>
      </c>
      <c r="I20" s="94">
        <v>224600</v>
      </c>
      <c r="J20" s="95">
        <f t="shared" si="4"/>
        <v>0</v>
      </c>
      <c r="K20" s="110"/>
      <c r="L20" s="110"/>
      <c r="M20" s="86">
        <f t="shared" si="5"/>
        <v>0</v>
      </c>
      <c r="N20" s="86">
        <v>224600</v>
      </c>
      <c r="O20" s="86"/>
      <c r="P20" s="86">
        <f t="shared" si="0"/>
        <v>224600</v>
      </c>
      <c r="Q20" s="100">
        <v>24131.3</v>
      </c>
      <c r="R20" s="110">
        <f>P20-Q20</f>
        <v>200468.7</v>
      </c>
      <c r="S20" s="98">
        <f t="shared" si="6"/>
        <v>224600</v>
      </c>
      <c r="T20" s="99">
        <f t="shared" si="2"/>
        <v>0.10744122885129118</v>
      </c>
      <c r="U20" s="100">
        <f t="shared" si="1"/>
        <v>0</v>
      </c>
      <c r="V20" s="100">
        <f t="shared" si="3"/>
        <v>0</v>
      </c>
      <c r="W20" s="83">
        <f t="shared" si="7"/>
        <v>0</v>
      </c>
    </row>
    <row r="21" spans="1:23" ht="13.35" hidden="1" customHeight="1" outlineLevel="1" x14ac:dyDescent="0.35">
      <c r="A21" s="39" t="s">
        <v>56</v>
      </c>
      <c r="B21" s="39" t="s">
        <v>57</v>
      </c>
      <c r="E21" s="106"/>
      <c r="F21" s="107"/>
      <c r="G21" s="108"/>
      <c r="H21" s="113"/>
      <c r="I21" s="94">
        <v>106320</v>
      </c>
      <c r="J21" s="95">
        <f t="shared" si="4"/>
        <v>106320</v>
      </c>
      <c r="K21" s="110"/>
      <c r="L21" s="110"/>
      <c r="M21" s="86">
        <f t="shared" si="5"/>
        <v>0</v>
      </c>
      <c r="N21" s="86"/>
      <c r="O21" s="86">
        <v>106320</v>
      </c>
      <c r="P21" s="86">
        <f>M21+N21+O21</f>
        <v>106320</v>
      </c>
      <c r="Q21" s="100">
        <v>17580.150000000001</v>
      </c>
      <c r="R21" s="110">
        <f>P21-Q21</f>
        <v>88739.85</v>
      </c>
      <c r="S21" s="98">
        <f t="shared" si="6"/>
        <v>106320</v>
      </c>
      <c r="T21" s="99">
        <f t="shared" si="2"/>
        <v>0.16535129796839731</v>
      </c>
      <c r="U21" s="100">
        <f t="shared" si="1"/>
        <v>0</v>
      </c>
      <c r="V21" s="100">
        <f t="shared" si="3"/>
        <v>0</v>
      </c>
      <c r="W21" s="83">
        <f t="shared" si="7"/>
        <v>0</v>
      </c>
    </row>
    <row r="22" spans="1:23" ht="13.35" customHeight="1" collapsed="1" x14ac:dyDescent="0.4">
      <c r="A22" s="1" t="s">
        <v>58</v>
      </c>
      <c r="B22" s="9"/>
      <c r="E22" s="114">
        <f>E13</f>
        <v>0</v>
      </c>
      <c r="F22" s="115">
        <f>F13</f>
        <v>1710.82</v>
      </c>
      <c r="G22" s="116">
        <f>G13</f>
        <v>-1710.82</v>
      </c>
      <c r="H22" s="117">
        <f>SUM(H12:H20)</f>
        <v>201659400</v>
      </c>
      <c r="I22" s="117">
        <f t="shared" ref="I22:S22" si="8">SUM(I12:I21)</f>
        <v>202215720</v>
      </c>
      <c r="J22" s="118">
        <f t="shared" si="8"/>
        <v>556320</v>
      </c>
      <c r="K22" s="117">
        <f t="shared" si="8"/>
        <v>0</v>
      </c>
      <c r="L22" s="117">
        <f t="shared" si="8"/>
        <v>0</v>
      </c>
      <c r="M22" s="119">
        <f t="shared" si="8"/>
        <v>0</v>
      </c>
      <c r="N22" s="119">
        <f t="shared" si="8"/>
        <v>201659400</v>
      </c>
      <c r="O22" s="120">
        <f t="shared" si="8"/>
        <v>556320</v>
      </c>
      <c r="P22" s="119">
        <f t="shared" si="8"/>
        <v>202215720</v>
      </c>
      <c r="Q22" s="121">
        <f t="shared" si="8"/>
        <v>36420556.819999993</v>
      </c>
      <c r="R22" s="119">
        <f t="shared" si="8"/>
        <v>165066367.17999995</v>
      </c>
      <c r="S22" s="119">
        <f t="shared" si="8"/>
        <v>201486924</v>
      </c>
      <c r="T22" s="122">
        <f t="shared" si="2"/>
        <v>0.18075891029037691</v>
      </c>
      <c r="U22" s="123">
        <f>SUM(U12:U21)</f>
        <v>-728796</v>
      </c>
      <c r="V22" s="123">
        <f>SUM(V12:V21)</f>
        <v>728796</v>
      </c>
      <c r="W22" s="124">
        <f t="shared" si="7"/>
        <v>3.6040521478745567E-3</v>
      </c>
    </row>
    <row r="23" spans="1:23" ht="13.35" customHeight="1" x14ac:dyDescent="0.4">
      <c r="A23" s="1"/>
      <c r="B23" s="9"/>
      <c r="E23" s="125"/>
      <c r="F23" s="126"/>
      <c r="G23" s="127"/>
      <c r="H23" s="125"/>
      <c r="I23" s="128"/>
      <c r="J23" s="128"/>
      <c r="K23" s="128"/>
      <c r="L23" s="128"/>
      <c r="M23" s="128"/>
      <c r="N23" s="128"/>
      <c r="O23" s="128"/>
      <c r="P23" s="128"/>
      <c r="Q23" s="129"/>
      <c r="R23" s="128"/>
      <c r="S23" s="128"/>
      <c r="T23" s="128"/>
      <c r="U23" s="130"/>
      <c r="V23" s="131"/>
      <c r="W23" s="132"/>
    </row>
    <row r="24" spans="1:23" ht="13.35" customHeight="1" x14ac:dyDescent="0.4">
      <c r="A24" s="9"/>
      <c r="B24" s="9"/>
      <c r="E24" s="125"/>
      <c r="F24" s="126"/>
      <c r="G24" s="127"/>
      <c r="H24" s="125"/>
      <c r="I24" s="133"/>
      <c r="J24" s="133"/>
      <c r="K24" s="134"/>
      <c r="L24" s="134"/>
      <c r="M24" s="135"/>
      <c r="N24" s="135"/>
      <c r="O24" s="135"/>
      <c r="P24" s="135"/>
      <c r="Q24" s="136"/>
      <c r="R24" s="135"/>
      <c r="S24" s="135"/>
      <c r="T24" s="135"/>
      <c r="U24" s="137"/>
      <c r="V24" s="138"/>
      <c r="W24" s="139"/>
    </row>
    <row r="25" spans="1:23" ht="13.35" hidden="1" customHeight="1" outlineLevel="1" x14ac:dyDescent="0.4">
      <c r="A25" s="70" t="s">
        <v>59</v>
      </c>
      <c r="B25" s="9"/>
      <c r="E25" s="125"/>
      <c r="F25" s="126"/>
      <c r="G25" s="127"/>
      <c r="H25" s="125"/>
      <c r="I25" s="110"/>
      <c r="J25" s="110"/>
      <c r="K25" s="140"/>
      <c r="L25" s="140"/>
      <c r="Q25" s="64"/>
      <c r="U25" s="68"/>
      <c r="V25" s="138"/>
      <c r="W25" s="139"/>
    </row>
    <row r="26" spans="1:23" s="101" customFormat="1" ht="13.35" hidden="1" customHeight="1" outlineLevel="1" x14ac:dyDescent="0.45">
      <c r="A26" s="71" t="s">
        <v>60</v>
      </c>
      <c r="B26" s="71" t="s">
        <v>61</v>
      </c>
      <c r="E26" s="102"/>
      <c r="F26" s="103"/>
      <c r="G26" s="104"/>
      <c r="H26" s="93"/>
      <c r="I26" s="94">
        <v>200000</v>
      </c>
      <c r="J26" s="95">
        <f t="shared" ref="J26:J35" si="9">I26-H26</f>
        <v>200000</v>
      </c>
      <c r="K26" s="141"/>
      <c r="L26" s="141"/>
      <c r="M26" s="86">
        <f t="shared" ref="M26:M35" si="10">K26+L26</f>
        <v>0</v>
      </c>
      <c r="N26" s="86"/>
      <c r="O26" s="86">
        <v>200000</v>
      </c>
      <c r="P26" s="86">
        <f t="shared" ref="P26:P35" si="11">M26+N26+O26</f>
        <v>200000</v>
      </c>
      <c r="Q26" s="96">
        <f>44126.99+1300.2+119.91+83.01</f>
        <v>45630.11</v>
      </c>
      <c r="R26" s="105">
        <f>P26-Q26</f>
        <v>154369.89000000001</v>
      </c>
      <c r="S26" s="94">
        <f t="shared" ref="S26:S27" si="12">SUM(Q26:R26)</f>
        <v>200000</v>
      </c>
      <c r="T26" s="81">
        <f t="shared" ref="T26:T27" si="13">IF(ISERR(Q26/S26),"-",Q26/S26)</f>
        <v>0.22815055000000001</v>
      </c>
      <c r="U26" s="142">
        <f t="shared" ref="U26:U35" si="14">S26-I26</f>
        <v>0</v>
      </c>
      <c r="V26" s="143">
        <f t="shared" ref="V26:V35" si="15">P26-S26</f>
        <v>0</v>
      </c>
      <c r="W26" s="83">
        <f t="shared" ref="W26:W27" si="16">IF(ISERR(V26/P26),"-",V26/P26)</f>
        <v>0</v>
      </c>
    </row>
    <row r="27" spans="1:23" s="101" customFormat="1" ht="13.35" hidden="1" customHeight="1" outlineLevel="1" x14ac:dyDescent="0.45">
      <c r="A27" s="71" t="s">
        <v>62</v>
      </c>
      <c r="B27" s="71" t="s">
        <v>63</v>
      </c>
      <c r="D27" s="72" t="s">
        <v>41</v>
      </c>
      <c r="E27" s="73"/>
      <c r="F27" s="74">
        <f>612+3.28</f>
        <v>615.28</v>
      </c>
      <c r="G27" s="75">
        <f>E27-F27</f>
        <v>-615.28</v>
      </c>
      <c r="H27" s="93">
        <f>37359000+94000</f>
        <v>37453000</v>
      </c>
      <c r="I27" s="94">
        <f>37453000+1057600</f>
        <v>38510600</v>
      </c>
      <c r="J27" s="95">
        <f t="shared" si="9"/>
        <v>1057600</v>
      </c>
      <c r="K27" s="141"/>
      <c r="L27" s="141"/>
      <c r="M27" s="86">
        <f t="shared" si="10"/>
        <v>0</v>
      </c>
      <c r="N27" s="86">
        <v>37453000</v>
      </c>
      <c r="O27" s="86">
        <v>1057600</v>
      </c>
      <c r="P27" s="86">
        <f t="shared" si="11"/>
        <v>38510600</v>
      </c>
      <c r="Q27" s="96">
        <f>7774212.84+8956.2</f>
        <v>7783169.04</v>
      </c>
      <c r="R27" s="144">
        <f>'[1]EA SA'!B25-'[1]Operating Results'!Q27</f>
        <v>27015903.334799998</v>
      </c>
      <c r="S27" s="94">
        <f t="shared" si="12"/>
        <v>34799072.374799997</v>
      </c>
      <c r="T27" s="81">
        <f t="shared" si="13"/>
        <v>0.22366024462296411</v>
      </c>
      <c r="U27" s="142">
        <f t="shared" si="14"/>
        <v>-3711527.6252000034</v>
      </c>
      <c r="V27" s="143">
        <f t="shared" si="15"/>
        <v>3711527.6252000034</v>
      </c>
      <c r="W27" s="83">
        <f t="shared" si="16"/>
        <v>9.6376780034587967E-2</v>
      </c>
    </row>
    <row r="28" spans="1:23" s="101" customFormat="1" ht="13.35" hidden="1" customHeight="1" outlineLevel="1" x14ac:dyDescent="0.45">
      <c r="A28" s="71"/>
      <c r="B28" s="71"/>
      <c r="D28" s="72" t="s">
        <v>42</v>
      </c>
      <c r="E28" s="73"/>
      <c r="F28" s="74">
        <f>F27</f>
        <v>615.28</v>
      </c>
      <c r="G28" s="75">
        <f>E28-F28</f>
        <v>-615.28</v>
      </c>
      <c r="H28" s="93"/>
      <c r="I28" s="94"/>
      <c r="J28" s="95"/>
      <c r="K28" s="141"/>
      <c r="L28" s="141"/>
      <c r="M28" s="86">
        <f t="shared" si="10"/>
        <v>0</v>
      </c>
      <c r="N28" s="86"/>
      <c r="O28" s="86"/>
      <c r="P28" s="86"/>
      <c r="Q28" s="96"/>
      <c r="R28" s="105"/>
      <c r="S28" s="94"/>
      <c r="T28" s="81"/>
      <c r="U28" s="142"/>
      <c r="V28" s="143"/>
      <c r="W28" s="83"/>
    </row>
    <row r="29" spans="1:23" s="101" customFormat="1" ht="13.35" hidden="1" customHeight="1" outlineLevel="1" x14ac:dyDescent="0.45">
      <c r="A29" s="71" t="s">
        <v>64</v>
      </c>
      <c r="B29" s="71" t="s">
        <v>65</v>
      </c>
      <c r="D29" s="72"/>
      <c r="E29" s="145"/>
      <c r="F29" s="74"/>
      <c r="G29" s="75"/>
      <c r="H29" s="93"/>
      <c r="I29" s="94"/>
      <c r="J29" s="95">
        <f t="shared" ref="J29" si="17">I29-H29</f>
        <v>0</v>
      </c>
      <c r="K29" s="141"/>
      <c r="L29" s="141"/>
      <c r="M29" s="86">
        <f t="shared" si="10"/>
        <v>0</v>
      </c>
      <c r="N29" s="86"/>
      <c r="O29" s="86"/>
      <c r="P29" s="86">
        <f t="shared" si="11"/>
        <v>0</v>
      </c>
      <c r="Q29" s="96">
        <v>702077.94</v>
      </c>
      <c r="R29" s="144">
        <f>3000000-Q29</f>
        <v>2297922.06</v>
      </c>
      <c r="S29" s="94">
        <f t="shared" ref="S29:S35" si="18">SUM(Q29:R29)</f>
        <v>3000000</v>
      </c>
      <c r="T29" s="81">
        <f t="shared" ref="T29:T35" si="19">IF(ISERR(Q29/S29),"-",Q29/S29)</f>
        <v>0.23402597999999999</v>
      </c>
      <c r="U29" s="142">
        <f t="shared" si="14"/>
        <v>3000000</v>
      </c>
      <c r="V29" s="143">
        <f t="shared" si="15"/>
        <v>-3000000</v>
      </c>
      <c r="W29" s="83" t="str">
        <f t="shared" ref="W29:W33" si="20">IF(ISERR(V29/P29),"-",V29/P29)</f>
        <v>-</v>
      </c>
    </row>
    <row r="30" spans="1:23" s="101" customFormat="1" ht="13.35" hidden="1" customHeight="1" outlineLevel="1" x14ac:dyDescent="0.45">
      <c r="A30" s="71" t="s">
        <v>66</v>
      </c>
      <c r="B30" s="71" t="s">
        <v>67</v>
      </c>
      <c r="E30" s="102"/>
      <c r="F30" s="103"/>
      <c r="G30" s="104"/>
      <c r="H30" s="93">
        <v>2048100</v>
      </c>
      <c r="I30" s="94">
        <v>2048100</v>
      </c>
      <c r="J30" s="95">
        <f t="shared" si="9"/>
        <v>0</v>
      </c>
      <c r="K30" s="141"/>
      <c r="L30" s="141"/>
      <c r="M30" s="86">
        <f t="shared" si="10"/>
        <v>0</v>
      </c>
      <c r="N30" s="86">
        <v>2048100</v>
      </c>
      <c r="O30" s="86"/>
      <c r="P30" s="86">
        <f t="shared" si="11"/>
        <v>2048100</v>
      </c>
      <c r="Q30" s="96">
        <v>1384620.73</v>
      </c>
      <c r="R30" s="144">
        <f>5000000-Q30</f>
        <v>3615379.27</v>
      </c>
      <c r="S30" s="94">
        <f t="shared" si="18"/>
        <v>5000000</v>
      </c>
      <c r="T30" s="81">
        <f t="shared" si="19"/>
        <v>0.27692414599999998</v>
      </c>
      <c r="U30" s="142">
        <f t="shared" si="14"/>
        <v>2951900</v>
      </c>
      <c r="V30" s="143">
        <f t="shared" si="15"/>
        <v>-2951900</v>
      </c>
      <c r="W30" s="83">
        <f t="shared" si="20"/>
        <v>-1.4412870465309311</v>
      </c>
    </row>
    <row r="31" spans="1:23" s="101" customFormat="1" ht="13.35" hidden="1" customHeight="1" outlineLevel="1" x14ac:dyDescent="0.45">
      <c r="A31" s="71" t="s">
        <v>68</v>
      </c>
      <c r="B31" s="71" t="s">
        <v>69</v>
      </c>
      <c r="E31" s="102"/>
      <c r="F31" s="103"/>
      <c r="G31" s="104"/>
      <c r="H31" s="93"/>
      <c r="I31" s="94"/>
      <c r="J31" s="95">
        <f t="shared" si="9"/>
        <v>0</v>
      </c>
      <c r="K31" s="141"/>
      <c r="L31" s="141"/>
      <c r="M31" s="86">
        <f t="shared" si="10"/>
        <v>0</v>
      </c>
      <c r="N31" s="86"/>
      <c r="O31" s="86"/>
      <c r="P31" s="86">
        <f t="shared" si="11"/>
        <v>0</v>
      </c>
      <c r="Q31" s="96">
        <v>2146.06</v>
      </c>
      <c r="R31" s="105">
        <f>P31-Q31</f>
        <v>-2146.06</v>
      </c>
      <c r="S31" s="94">
        <f t="shared" si="18"/>
        <v>0</v>
      </c>
      <c r="T31" s="81" t="str">
        <f t="shared" si="19"/>
        <v>-</v>
      </c>
      <c r="U31" s="142">
        <f t="shared" si="14"/>
        <v>0</v>
      </c>
      <c r="V31" s="143">
        <f t="shared" si="15"/>
        <v>0</v>
      </c>
      <c r="W31" s="83" t="str">
        <f t="shared" si="20"/>
        <v>-</v>
      </c>
    </row>
    <row r="32" spans="1:23" s="101" customFormat="1" ht="13.35" hidden="1" customHeight="1" outlineLevel="1" x14ac:dyDescent="0.45">
      <c r="A32" s="71" t="s">
        <v>70</v>
      </c>
      <c r="B32" s="71" t="s">
        <v>71</v>
      </c>
      <c r="E32" s="102"/>
      <c r="F32" s="103"/>
      <c r="G32" s="104"/>
      <c r="H32" s="93"/>
      <c r="I32" s="94"/>
      <c r="J32" s="95">
        <f t="shared" si="9"/>
        <v>0</v>
      </c>
      <c r="K32" s="141"/>
      <c r="L32" s="141"/>
      <c r="M32" s="86">
        <f t="shared" si="10"/>
        <v>0</v>
      </c>
      <c r="N32" s="86"/>
      <c r="O32" s="86"/>
      <c r="P32" s="86">
        <f t="shared" si="11"/>
        <v>0</v>
      </c>
      <c r="Q32" s="96">
        <v>5322.48</v>
      </c>
      <c r="R32" s="105">
        <f>P32-Q32</f>
        <v>-5322.48</v>
      </c>
      <c r="S32" s="94">
        <f t="shared" si="18"/>
        <v>0</v>
      </c>
      <c r="T32" s="81" t="str">
        <f t="shared" si="19"/>
        <v>-</v>
      </c>
      <c r="U32" s="142">
        <f t="shared" si="14"/>
        <v>0</v>
      </c>
      <c r="V32" s="143">
        <f>P32-S32</f>
        <v>0</v>
      </c>
      <c r="W32" s="83" t="str">
        <f t="shared" si="20"/>
        <v>-</v>
      </c>
    </row>
    <row r="33" spans="1:23" ht="13.35" hidden="1" customHeight="1" outlineLevel="1" x14ac:dyDescent="0.35">
      <c r="A33" s="39" t="s">
        <v>72</v>
      </c>
      <c r="B33" s="10" t="s">
        <v>73</v>
      </c>
      <c r="D33" s="72" t="s">
        <v>41</v>
      </c>
      <c r="E33" s="73"/>
      <c r="F33" s="107">
        <f>31+16</f>
        <v>47</v>
      </c>
      <c r="G33" s="75">
        <f>E33-F33</f>
        <v>-47</v>
      </c>
      <c r="H33" s="93">
        <f>1057600+4312800</f>
        <v>5370400</v>
      </c>
      <c r="I33" s="94">
        <v>4312800</v>
      </c>
      <c r="J33" s="95">
        <f t="shared" si="9"/>
        <v>-1057600</v>
      </c>
      <c r="K33" s="110"/>
      <c r="L33" s="110"/>
      <c r="M33" s="86">
        <f t="shared" si="10"/>
        <v>0</v>
      </c>
      <c r="N33" s="86">
        <v>5370400</v>
      </c>
      <c r="O33" s="95">
        <v>-1057600</v>
      </c>
      <c r="P33" s="86">
        <f t="shared" si="11"/>
        <v>4312800</v>
      </c>
      <c r="Q33" s="111">
        <v>799818.2</v>
      </c>
      <c r="R33" s="146">
        <f>3185000-Q33</f>
        <v>2385181.7999999998</v>
      </c>
      <c r="S33" s="94">
        <f t="shared" si="18"/>
        <v>3185000</v>
      </c>
      <c r="T33" s="81">
        <f t="shared" si="19"/>
        <v>0.2511203139717425</v>
      </c>
      <c r="U33" s="142">
        <f t="shared" si="14"/>
        <v>-1127800</v>
      </c>
      <c r="V33" s="143">
        <f t="shared" si="15"/>
        <v>1127800</v>
      </c>
      <c r="W33" s="83">
        <f t="shared" si="20"/>
        <v>0.2615006492301985</v>
      </c>
    </row>
    <row r="34" spans="1:23" ht="13.35" hidden="1" customHeight="1" outlineLevel="1" x14ac:dyDescent="0.35">
      <c r="A34" s="39"/>
      <c r="D34" s="72" t="s">
        <v>42</v>
      </c>
      <c r="E34" s="73"/>
      <c r="F34" s="107">
        <f>F33</f>
        <v>47</v>
      </c>
      <c r="G34" s="75">
        <f>E34-F34</f>
        <v>-47</v>
      </c>
      <c r="H34" s="93"/>
      <c r="I34" s="94"/>
      <c r="J34" s="95"/>
      <c r="K34" s="110"/>
      <c r="L34" s="110"/>
      <c r="M34" s="86">
        <f t="shared" si="10"/>
        <v>0</v>
      </c>
      <c r="N34" s="86"/>
      <c r="O34" s="86"/>
      <c r="P34" s="86"/>
      <c r="Q34" s="111"/>
      <c r="R34" s="110"/>
      <c r="S34" s="94"/>
      <c r="T34" s="81"/>
      <c r="U34" s="142"/>
      <c r="V34" s="143"/>
      <c r="W34" s="83"/>
    </row>
    <row r="35" spans="1:23" ht="13.35" hidden="1" customHeight="1" outlineLevel="1" x14ac:dyDescent="0.35">
      <c r="A35" s="39" t="s">
        <v>74</v>
      </c>
      <c r="B35" s="10" t="s">
        <v>75</v>
      </c>
      <c r="D35" s="72"/>
      <c r="E35" s="106"/>
      <c r="F35" s="107"/>
      <c r="G35" s="148"/>
      <c r="H35" s="93"/>
      <c r="I35" s="94"/>
      <c r="J35" s="95">
        <f t="shared" si="9"/>
        <v>0</v>
      </c>
      <c r="K35" s="110"/>
      <c r="L35" s="110"/>
      <c r="M35" s="86">
        <f t="shared" si="10"/>
        <v>0</v>
      </c>
      <c r="N35" s="86"/>
      <c r="O35" s="86"/>
      <c r="P35" s="86">
        <f t="shared" si="11"/>
        <v>0</v>
      </c>
      <c r="Q35" s="111">
        <v>16148.08</v>
      </c>
      <c r="R35" s="146">
        <f>20000-Q35</f>
        <v>3851.92</v>
      </c>
      <c r="S35" s="94">
        <f t="shared" si="18"/>
        <v>20000</v>
      </c>
      <c r="T35" s="81">
        <f t="shared" si="19"/>
        <v>0.80740400000000001</v>
      </c>
      <c r="U35" s="142">
        <f t="shared" si="14"/>
        <v>20000</v>
      </c>
      <c r="V35" s="143">
        <f t="shared" si="15"/>
        <v>-20000</v>
      </c>
      <c r="W35" s="83" t="str">
        <f>IF(ISERR(V35/P35),"-",V35/P35)</f>
        <v>-</v>
      </c>
    </row>
    <row r="36" spans="1:23" ht="13.35" customHeight="1" collapsed="1" x14ac:dyDescent="0.4">
      <c r="A36" s="1" t="s">
        <v>76</v>
      </c>
      <c r="B36" s="9"/>
      <c r="E36" s="149">
        <f>E28+E34</f>
        <v>0</v>
      </c>
      <c r="F36" s="115">
        <f>F28+F34</f>
        <v>662.28</v>
      </c>
      <c r="G36" s="116">
        <f>G28+G34</f>
        <v>-662.28</v>
      </c>
      <c r="H36" s="119">
        <f t="shared" ref="H36:S36" si="21">SUM(H26:H35)</f>
        <v>44871500</v>
      </c>
      <c r="I36" s="119">
        <f t="shared" si="21"/>
        <v>45071500</v>
      </c>
      <c r="J36" s="150">
        <f t="shared" si="21"/>
        <v>200000</v>
      </c>
      <c r="K36" s="119">
        <f t="shared" si="21"/>
        <v>0</v>
      </c>
      <c r="L36" s="119">
        <f t="shared" si="21"/>
        <v>0</v>
      </c>
      <c r="M36" s="119">
        <f t="shared" si="21"/>
        <v>0</v>
      </c>
      <c r="N36" s="119">
        <f t="shared" si="21"/>
        <v>44871500</v>
      </c>
      <c r="O36" s="119">
        <f t="shared" si="21"/>
        <v>200000</v>
      </c>
      <c r="P36" s="119">
        <f t="shared" si="21"/>
        <v>45071500</v>
      </c>
      <c r="Q36" s="121">
        <f t="shared" si="21"/>
        <v>10738932.640000001</v>
      </c>
      <c r="R36" s="119">
        <f t="shared" si="21"/>
        <v>35465139.734799996</v>
      </c>
      <c r="S36" s="119">
        <f t="shared" si="21"/>
        <v>46204072.374799997</v>
      </c>
      <c r="T36" s="122">
        <f>IF(ISERR(Q36/S36),"-",Q36/S36)</f>
        <v>0.23242394204752143</v>
      </c>
      <c r="U36" s="151">
        <f>SUM(U26:U35)</f>
        <v>1132572.3747999966</v>
      </c>
      <c r="V36" s="123">
        <f>SUM(V26:V35)</f>
        <v>-1132572.3747999966</v>
      </c>
      <c r="W36" s="124">
        <f>IF(ISERR(V36/P36),"-",V36/P36)</f>
        <v>-2.5128348841285439E-2</v>
      </c>
    </row>
    <row r="37" spans="1:23" ht="13.35" customHeight="1" x14ac:dyDescent="0.4">
      <c r="A37" s="9"/>
      <c r="B37" s="9"/>
      <c r="E37" s="125"/>
      <c r="F37" s="126"/>
      <c r="G37" s="127"/>
      <c r="H37" s="125"/>
      <c r="Q37" s="64"/>
      <c r="U37" s="68"/>
      <c r="V37" s="138"/>
      <c r="W37" s="139"/>
    </row>
    <row r="38" spans="1:23" ht="13.35" customHeight="1" x14ac:dyDescent="0.4">
      <c r="A38" s="1"/>
      <c r="B38" s="9"/>
      <c r="E38" s="125"/>
      <c r="F38" s="126"/>
      <c r="G38" s="127"/>
      <c r="H38" s="125"/>
      <c r="I38" s="110"/>
      <c r="J38" s="110"/>
      <c r="K38" s="110"/>
      <c r="L38" s="110"/>
      <c r="M38" s="110"/>
      <c r="N38" s="110"/>
      <c r="O38" s="110"/>
      <c r="P38" s="110"/>
      <c r="Q38" s="111"/>
      <c r="R38" s="110"/>
      <c r="S38" s="110"/>
      <c r="T38" s="81"/>
      <c r="U38" s="152"/>
      <c r="V38" s="153"/>
      <c r="W38" s="132"/>
    </row>
    <row r="39" spans="1:23" ht="13.35" hidden="1" customHeight="1" outlineLevel="1" x14ac:dyDescent="0.4">
      <c r="A39" s="70" t="s">
        <v>77</v>
      </c>
      <c r="B39" s="9"/>
      <c r="E39" s="125"/>
      <c r="F39" s="126"/>
      <c r="G39" s="127"/>
      <c r="H39" s="125"/>
      <c r="I39" s="110"/>
      <c r="J39" s="110"/>
      <c r="K39" s="110"/>
      <c r="L39" s="110"/>
      <c r="M39" s="110"/>
      <c r="N39" s="110"/>
      <c r="O39" s="110"/>
      <c r="P39" s="110"/>
      <c r="Q39" s="111"/>
      <c r="R39" s="110"/>
      <c r="S39" s="110"/>
      <c r="T39" s="110"/>
      <c r="U39" s="154"/>
      <c r="V39" s="153"/>
      <c r="W39" s="132"/>
    </row>
    <row r="40" spans="1:23" ht="13.35" hidden="1" customHeight="1" outlineLevel="1" x14ac:dyDescent="0.35">
      <c r="A40" s="39" t="s">
        <v>78</v>
      </c>
      <c r="B40" s="39" t="s">
        <v>79</v>
      </c>
      <c r="D40" s="72" t="s">
        <v>41</v>
      </c>
      <c r="E40" s="73"/>
      <c r="F40" s="126">
        <v>90.73</v>
      </c>
      <c r="G40" s="75">
        <f t="shared" ref="G40:G41" si="22">E40-F40</f>
        <v>-90.73</v>
      </c>
      <c r="H40" s="155">
        <v>4477800</v>
      </c>
      <c r="I40" s="94">
        <v>4477800</v>
      </c>
      <c r="J40" s="95">
        <f t="shared" ref="J40:J54" si="23">I40-H40</f>
        <v>0</v>
      </c>
      <c r="K40" s="110"/>
      <c r="L40" s="110"/>
      <c r="M40" s="77">
        <f>K40+L40</f>
        <v>0</v>
      </c>
      <c r="N40" s="77">
        <v>4477800</v>
      </c>
      <c r="O40" s="77"/>
      <c r="P40" s="77">
        <f>M40+N40+O40</f>
        <v>4477800</v>
      </c>
      <c r="Q40" s="111">
        <f>984262.49+3164.04</f>
        <v>987426.53</v>
      </c>
      <c r="R40" s="146">
        <f>[1]SAA!P125-'[1]Operating Results'!Q40</f>
        <v>3682024.4199999971</v>
      </c>
      <c r="S40" s="98">
        <f>SUM(Q40:R40)</f>
        <v>4669450.9499999974</v>
      </c>
      <c r="T40" s="99">
        <f>IF(ISERR(Q40/S40),"-",Q40/S40)</f>
        <v>0.21146523233100897</v>
      </c>
      <c r="U40" s="142">
        <f t="shared" ref="U40:U54" si="24">S40-I40</f>
        <v>191650.94999999739</v>
      </c>
      <c r="V40" s="87">
        <f>P40-S40</f>
        <v>-191650.94999999739</v>
      </c>
      <c r="W40" s="83">
        <f>IF(ISERR(V40/P40),"-",V40/P40)</f>
        <v>-4.2800247889588056E-2</v>
      </c>
    </row>
    <row r="41" spans="1:23" ht="13.35" hidden="1" customHeight="1" outlineLevel="1" x14ac:dyDescent="0.35">
      <c r="A41" s="39"/>
      <c r="B41" s="39"/>
      <c r="D41" s="72" t="s">
        <v>42</v>
      </c>
      <c r="E41" s="73"/>
      <c r="F41" s="126">
        <f>F40</f>
        <v>90.73</v>
      </c>
      <c r="G41" s="75">
        <f t="shared" si="22"/>
        <v>-90.73</v>
      </c>
      <c r="H41" s="155"/>
      <c r="I41" s="94"/>
      <c r="J41" s="95"/>
      <c r="K41" s="110"/>
      <c r="L41" s="110"/>
      <c r="M41" s="77"/>
      <c r="N41" s="77"/>
      <c r="O41" s="77"/>
      <c r="P41" s="94"/>
      <c r="Q41" s="111"/>
      <c r="R41" s="110"/>
      <c r="S41" s="98"/>
      <c r="T41" s="99"/>
      <c r="U41" s="142"/>
      <c r="V41" s="87"/>
      <c r="W41" s="83"/>
    </row>
    <row r="42" spans="1:23" ht="13.35" hidden="1" customHeight="1" outlineLevel="1" x14ac:dyDescent="0.35">
      <c r="A42" s="39" t="s">
        <v>80</v>
      </c>
      <c r="B42" s="39" t="s">
        <v>81</v>
      </c>
      <c r="D42" s="72"/>
      <c r="E42" s="125"/>
      <c r="F42" s="126"/>
      <c r="G42" s="148"/>
      <c r="H42" s="93"/>
      <c r="I42" s="94"/>
      <c r="J42" s="95">
        <f t="shared" si="23"/>
        <v>0</v>
      </c>
      <c r="K42" s="110"/>
      <c r="L42" s="110"/>
      <c r="M42" s="94">
        <f>K42+L42</f>
        <v>0</v>
      </c>
      <c r="N42" s="94"/>
      <c r="O42" s="94"/>
      <c r="P42" s="94">
        <f>M42+N42+O42</f>
        <v>0</v>
      </c>
      <c r="Q42" s="111">
        <v>21019.040000000001</v>
      </c>
      <c r="R42" s="146">
        <f>102000-Q42</f>
        <v>80980.959999999992</v>
      </c>
      <c r="S42" s="98">
        <f>SUM(Q42:R42)</f>
        <v>102000</v>
      </c>
      <c r="T42" s="99">
        <f>IF(ISERR(Q42/S42),"-",Q42/S42)</f>
        <v>0.20606901960784316</v>
      </c>
      <c r="U42" s="142">
        <f t="shared" si="24"/>
        <v>102000</v>
      </c>
      <c r="V42" s="100">
        <f t="shared" ref="V42:V54" si="25">P42-S42</f>
        <v>-102000</v>
      </c>
      <c r="W42" s="83" t="str">
        <f t="shared" ref="W42:W45" si="26">IF(ISERR(V42/P42),"-",V42/P42)</f>
        <v>-</v>
      </c>
    </row>
    <row r="43" spans="1:23" s="101" customFormat="1" ht="13.35" hidden="1" customHeight="1" outlineLevel="1" x14ac:dyDescent="0.35">
      <c r="A43" s="71" t="s">
        <v>82</v>
      </c>
      <c r="B43" s="71" t="s">
        <v>83</v>
      </c>
      <c r="E43" s="102"/>
      <c r="F43" s="103"/>
      <c r="G43" s="104"/>
      <c r="H43" s="155">
        <v>240600</v>
      </c>
      <c r="I43" s="94">
        <v>240600</v>
      </c>
      <c r="J43" s="95">
        <f t="shared" si="23"/>
        <v>0</v>
      </c>
      <c r="K43" s="105"/>
      <c r="L43" s="105"/>
      <c r="M43" s="94">
        <f t="shared" ref="M43:M54" si="27">K43+L43</f>
        <v>0</v>
      </c>
      <c r="N43" s="94">
        <v>240600</v>
      </c>
      <c r="O43" s="94"/>
      <c r="P43" s="94">
        <f t="shared" ref="P43:P54" si="28">M43+N43+O43</f>
        <v>240600</v>
      </c>
      <c r="Q43" s="96">
        <v>93499.21</v>
      </c>
      <c r="R43" s="144">
        <f>410000-Q43</f>
        <v>316500.78999999998</v>
      </c>
      <c r="S43" s="98">
        <f>SUM(Q43:R43)</f>
        <v>410000</v>
      </c>
      <c r="T43" s="99">
        <f>IF(ISERR(Q43/S43),"-",Q43/S43)</f>
        <v>0.22804685365853661</v>
      </c>
      <c r="U43" s="142">
        <f t="shared" si="24"/>
        <v>169400</v>
      </c>
      <c r="V43" s="100">
        <f t="shared" si="25"/>
        <v>-169400</v>
      </c>
      <c r="W43" s="83">
        <f t="shared" si="26"/>
        <v>-0.70407315045719032</v>
      </c>
    </row>
    <row r="44" spans="1:23" s="101" customFormat="1" ht="13.35" hidden="1" customHeight="1" outlineLevel="1" x14ac:dyDescent="0.35">
      <c r="A44" s="71" t="s">
        <v>84</v>
      </c>
      <c r="B44" s="71" t="s">
        <v>85</v>
      </c>
      <c r="E44" s="102"/>
      <c r="F44" s="103"/>
      <c r="G44" s="104"/>
      <c r="H44" s="93"/>
      <c r="I44" s="94">
        <v>530020</v>
      </c>
      <c r="J44" s="95">
        <f t="shared" si="23"/>
        <v>530020</v>
      </c>
      <c r="K44" s="105"/>
      <c r="L44" s="105"/>
      <c r="M44" s="94">
        <f t="shared" si="27"/>
        <v>0</v>
      </c>
      <c r="N44" s="94"/>
      <c r="O44" s="94">
        <v>530020</v>
      </c>
      <c r="P44" s="94">
        <f t="shared" si="28"/>
        <v>530020</v>
      </c>
      <c r="Q44" s="96">
        <v>60991.37</v>
      </c>
      <c r="R44" s="105">
        <f>P44-Q44</f>
        <v>469028.63</v>
      </c>
      <c r="S44" s="98">
        <f>SUM(Q44:R44)</f>
        <v>530020</v>
      </c>
      <c r="T44" s="99">
        <f>IF(ISERR(Q44/S44),"-",Q44/S44)</f>
        <v>0.11507371419946417</v>
      </c>
      <c r="U44" s="142">
        <f t="shared" si="24"/>
        <v>0</v>
      </c>
      <c r="V44" s="100">
        <f t="shared" si="25"/>
        <v>0</v>
      </c>
      <c r="W44" s="83">
        <f t="shared" si="26"/>
        <v>0</v>
      </c>
    </row>
    <row r="45" spans="1:23" ht="13.35" hidden="1" customHeight="1" outlineLevel="1" x14ac:dyDescent="0.35">
      <c r="A45" s="39" t="s">
        <v>86</v>
      </c>
      <c r="B45" s="10" t="s">
        <v>87</v>
      </c>
      <c r="D45" s="72" t="s">
        <v>41</v>
      </c>
      <c r="E45" s="73"/>
      <c r="F45" s="126">
        <f>14.5+5+6+1.7+13.59</f>
        <v>40.79</v>
      </c>
      <c r="G45" s="75">
        <f t="shared" ref="G45:G46" si="29">E45-F45</f>
        <v>-40.79</v>
      </c>
      <c r="H45" s="156">
        <v>5864200</v>
      </c>
      <c r="I45" s="77">
        <v>5864200</v>
      </c>
      <c r="J45" s="95">
        <f t="shared" si="23"/>
        <v>0</v>
      </c>
      <c r="K45" s="157"/>
      <c r="L45" s="158"/>
      <c r="M45" s="94">
        <f t="shared" si="27"/>
        <v>0</v>
      </c>
      <c r="N45" s="94">
        <v>5864200</v>
      </c>
      <c r="O45" s="94"/>
      <c r="P45" s="94">
        <f t="shared" si="28"/>
        <v>5864200</v>
      </c>
      <c r="Q45" s="159">
        <f>737936.23+7459.15</f>
        <v>745395.38</v>
      </c>
      <c r="R45" s="160">
        <f>4000000-Q45+108000+108000</f>
        <v>3470604.62</v>
      </c>
      <c r="S45" s="161">
        <f t="shared" ref="S45:S54" si="30">SUM(Q45:R45)</f>
        <v>4216000</v>
      </c>
      <c r="T45" s="99">
        <f t="shared" ref="T45:T55" si="31">IF(ISERR(Q45/S45),"-",Q45/S45)</f>
        <v>0.17680156072106262</v>
      </c>
      <c r="U45" s="142">
        <f t="shared" si="24"/>
        <v>-1648200</v>
      </c>
      <c r="V45" s="100">
        <f t="shared" si="25"/>
        <v>1648200</v>
      </c>
      <c r="W45" s="147">
        <f t="shared" si="26"/>
        <v>0.28106135534258725</v>
      </c>
    </row>
    <row r="46" spans="1:23" ht="13.35" hidden="1" customHeight="1" outlineLevel="1" x14ac:dyDescent="0.35">
      <c r="A46" s="39"/>
      <c r="D46" s="72" t="s">
        <v>42</v>
      </c>
      <c r="E46" s="73"/>
      <c r="F46" s="126">
        <f>F45</f>
        <v>40.79</v>
      </c>
      <c r="G46" s="75">
        <f t="shared" si="29"/>
        <v>-40.79</v>
      </c>
      <c r="H46" s="156"/>
      <c r="I46" s="77"/>
      <c r="J46" s="95"/>
      <c r="K46" s="157"/>
      <c r="L46" s="157"/>
      <c r="M46" s="94">
        <f t="shared" si="27"/>
        <v>0</v>
      </c>
      <c r="N46" s="94"/>
      <c r="O46" s="94"/>
      <c r="P46" s="94">
        <f t="shared" si="28"/>
        <v>0</v>
      </c>
      <c r="Q46" s="159"/>
      <c r="R46" s="161"/>
      <c r="S46" s="161"/>
      <c r="T46" s="99"/>
      <c r="U46" s="142"/>
      <c r="V46" s="100"/>
      <c r="W46" s="147"/>
    </row>
    <row r="47" spans="1:23" ht="13.35" hidden="1" customHeight="1" outlineLevel="1" x14ac:dyDescent="0.35">
      <c r="A47" s="39" t="s">
        <v>88</v>
      </c>
      <c r="B47" s="39" t="s">
        <v>89</v>
      </c>
      <c r="E47" s="125"/>
      <c r="F47" s="126"/>
      <c r="G47" s="148"/>
      <c r="H47" s="156">
        <v>219900</v>
      </c>
      <c r="I47" s="94">
        <v>219900</v>
      </c>
      <c r="J47" s="95">
        <f t="shared" si="23"/>
        <v>0</v>
      </c>
      <c r="K47" s="158"/>
      <c r="L47" s="158"/>
      <c r="M47" s="94">
        <f t="shared" si="27"/>
        <v>0</v>
      </c>
      <c r="N47" s="94">
        <v>219900</v>
      </c>
      <c r="O47" s="94"/>
      <c r="P47" s="94">
        <f t="shared" si="28"/>
        <v>219900</v>
      </c>
      <c r="Q47" s="111">
        <v>17086.53</v>
      </c>
      <c r="R47" s="110">
        <f>P47-Q47</f>
        <v>202813.47</v>
      </c>
      <c r="S47" s="98">
        <f t="shared" si="30"/>
        <v>219900</v>
      </c>
      <c r="T47" s="99">
        <f t="shared" si="31"/>
        <v>7.7701364256480207E-2</v>
      </c>
      <c r="U47" s="142">
        <f t="shared" si="24"/>
        <v>0</v>
      </c>
      <c r="V47" s="100">
        <f t="shared" si="25"/>
        <v>0</v>
      </c>
      <c r="W47" s="147">
        <f>IF(ISERR(V47/P47),"-",V47/P47)</f>
        <v>0</v>
      </c>
    </row>
    <row r="48" spans="1:23" ht="13.35" hidden="1" customHeight="1" outlineLevel="1" x14ac:dyDescent="0.35">
      <c r="A48" s="162" t="s">
        <v>90</v>
      </c>
      <c r="B48" s="162" t="s">
        <v>91</v>
      </c>
      <c r="C48" s="88"/>
      <c r="D48" s="72" t="s">
        <v>41</v>
      </c>
      <c r="E48" s="73"/>
      <c r="F48" s="163">
        <v>26.62</v>
      </c>
      <c r="G48" s="75">
        <f t="shared" ref="G48:G49" si="32">E48-F48</f>
        <v>-26.62</v>
      </c>
      <c r="H48" s="156">
        <v>311329</v>
      </c>
      <c r="I48" s="94">
        <v>311329</v>
      </c>
      <c r="J48" s="95">
        <f t="shared" si="23"/>
        <v>0</v>
      </c>
      <c r="K48" s="164"/>
      <c r="L48" s="164"/>
      <c r="M48" s="94">
        <f t="shared" si="27"/>
        <v>0</v>
      </c>
      <c r="N48" s="94">
        <v>311329</v>
      </c>
      <c r="O48" s="94"/>
      <c r="P48" s="94">
        <f t="shared" si="28"/>
        <v>311329</v>
      </c>
      <c r="Q48" s="165">
        <v>106003.93</v>
      </c>
      <c r="R48" s="97">
        <f>[1]LA!P31-'[1]Operating Results'!Q48+311329</f>
        <v>348878.95600000001</v>
      </c>
      <c r="S48" s="98">
        <f t="shared" si="30"/>
        <v>454882.886</v>
      </c>
      <c r="T48" s="99">
        <f t="shared" si="31"/>
        <v>0.23303565217004008</v>
      </c>
      <c r="U48" s="142">
        <f t="shared" si="24"/>
        <v>143553.886</v>
      </c>
      <c r="V48" s="100">
        <f t="shared" si="25"/>
        <v>-143553.886</v>
      </c>
      <c r="W48" s="83">
        <f>IF(ISERR(V48/P48),"-",V48/P48)</f>
        <v>-0.46110027013223953</v>
      </c>
    </row>
    <row r="49" spans="1:23" ht="13.35" hidden="1" customHeight="1" outlineLevel="1" x14ac:dyDescent="0.35">
      <c r="A49" s="162"/>
      <c r="B49" s="162"/>
      <c r="C49" s="88"/>
      <c r="D49" s="72" t="s">
        <v>42</v>
      </c>
      <c r="E49" s="73"/>
      <c r="F49" s="163">
        <f>F48</f>
        <v>26.62</v>
      </c>
      <c r="G49" s="75">
        <f t="shared" si="32"/>
        <v>-26.62</v>
      </c>
      <c r="H49" s="156"/>
      <c r="I49" s="94"/>
      <c r="J49" s="95"/>
      <c r="K49" s="164"/>
      <c r="L49" s="164"/>
      <c r="M49" s="94">
        <f t="shared" si="27"/>
        <v>0</v>
      </c>
      <c r="N49" s="94"/>
      <c r="O49" s="94"/>
      <c r="P49" s="94">
        <f t="shared" si="28"/>
        <v>0</v>
      </c>
      <c r="Q49" s="165"/>
      <c r="R49" s="164"/>
      <c r="S49" s="98"/>
      <c r="T49" s="99"/>
      <c r="U49" s="142"/>
      <c r="V49" s="100"/>
      <c r="W49" s="83"/>
    </row>
    <row r="50" spans="1:23" ht="13.35" hidden="1" customHeight="1" outlineLevel="1" x14ac:dyDescent="0.35">
      <c r="A50" s="162" t="s">
        <v>92</v>
      </c>
      <c r="B50" s="162" t="s">
        <v>93</v>
      </c>
      <c r="C50" s="88"/>
      <c r="D50" s="72"/>
      <c r="E50" s="166"/>
      <c r="F50" s="163"/>
      <c r="G50" s="75"/>
      <c r="H50" s="93"/>
      <c r="I50" s="94"/>
      <c r="J50" s="95">
        <f t="shared" si="23"/>
        <v>0</v>
      </c>
      <c r="K50" s="164"/>
      <c r="L50" s="164"/>
      <c r="M50" s="94">
        <f t="shared" si="27"/>
        <v>0</v>
      </c>
      <c r="N50" s="94"/>
      <c r="O50" s="94"/>
      <c r="P50" s="94">
        <f t="shared" si="28"/>
        <v>0</v>
      </c>
      <c r="Q50" s="165">
        <v>0.14000000000000001</v>
      </c>
      <c r="R50" s="97">
        <f>2000-Q50</f>
        <v>1999.86</v>
      </c>
      <c r="S50" s="98">
        <f t="shared" si="30"/>
        <v>2000</v>
      </c>
      <c r="T50" s="99">
        <f t="shared" si="31"/>
        <v>7.0000000000000007E-5</v>
      </c>
      <c r="U50" s="142">
        <f t="shared" si="24"/>
        <v>2000</v>
      </c>
      <c r="V50" s="100">
        <f t="shared" si="25"/>
        <v>-2000</v>
      </c>
      <c r="W50" s="83" t="str">
        <f t="shared" ref="W50:W55" si="33">IF(ISERR(V50/P50),"-",V50/P50)</f>
        <v>-</v>
      </c>
    </row>
    <row r="51" spans="1:23" ht="13.35" hidden="1" customHeight="1" outlineLevel="1" x14ac:dyDescent="0.35">
      <c r="A51" s="162" t="s">
        <v>94</v>
      </c>
      <c r="B51" s="162" t="s">
        <v>95</v>
      </c>
      <c r="C51" s="88"/>
      <c r="D51" s="72"/>
      <c r="E51" s="166"/>
      <c r="F51" s="163"/>
      <c r="G51" s="148"/>
      <c r="H51" s="93"/>
      <c r="I51" s="94"/>
      <c r="J51" s="95">
        <f t="shared" si="23"/>
        <v>0</v>
      </c>
      <c r="K51" s="164"/>
      <c r="L51" s="164"/>
      <c r="M51" s="94">
        <f t="shared" si="27"/>
        <v>0</v>
      </c>
      <c r="N51" s="94"/>
      <c r="O51" s="94"/>
      <c r="P51" s="94">
        <f t="shared" si="28"/>
        <v>0</v>
      </c>
      <c r="Q51" s="165">
        <v>4183.37</v>
      </c>
      <c r="R51" s="97">
        <f>10000-Q51</f>
        <v>5816.63</v>
      </c>
      <c r="S51" s="98">
        <f t="shared" si="30"/>
        <v>10000</v>
      </c>
      <c r="T51" s="99">
        <f t="shared" si="31"/>
        <v>0.41833700000000001</v>
      </c>
      <c r="U51" s="142">
        <f t="shared" si="24"/>
        <v>10000</v>
      </c>
      <c r="V51" s="100">
        <f t="shared" si="25"/>
        <v>-10000</v>
      </c>
      <c r="W51" s="83" t="str">
        <f t="shared" si="33"/>
        <v>-</v>
      </c>
    </row>
    <row r="52" spans="1:23" ht="13.35" hidden="1" customHeight="1" outlineLevel="1" x14ac:dyDescent="0.35">
      <c r="A52" s="162" t="s">
        <v>96</v>
      </c>
      <c r="B52" s="162" t="s">
        <v>97</v>
      </c>
      <c r="C52" s="88"/>
      <c r="D52" s="72"/>
      <c r="E52" s="166"/>
      <c r="F52" s="163"/>
      <c r="G52" s="148"/>
      <c r="H52" s="93"/>
      <c r="I52" s="94"/>
      <c r="J52" s="95">
        <f t="shared" si="23"/>
        <v>0</v>
      </c>
      <c r="K52" s="164"/>
      <c r="L52" s="164"/>
      <c r="M52" s="94">
        <f t="shared" si="27"/>
        <v>0</v>
      </c>
      <c r="N52" s="94"/>
      <c r="O52" s="94"/>
      <c r="P52" s="94">
        <f t="shared" si="28"/>
        <v>0</v>
      </c>
      <c r="Q52" s="165">
        <v>58.16</v>
      </c>
      <c r="R52" s="164">
        <f>P52-Q52</f>
        <v>-58.16</v>
      </c>
      <c r="S52" s="98">
        <f t="shared" si="30"/>
        <v>0</v>
      </c>
      <c r="T52" s="99" t="str">
        <f t="shared" si="31"/>
        <v>-</v>
      </c>
      <c r="U52" s="142">
        <f t="shared" si="24"/>
        <v>0</v>
      </c>
      <c r="V52" s="100">
        <f t="shared" si="25"/>
        <v>0</v>
      </c>
      <c r="W52" s="83" t="str">
        <f t="shared" si="33"/>
        <v>-</v>
      </c>
    </row>
    <row r="53" spans="1:23" ht="13.35" hidden="1" customHeight="1" outlineLevel="1" x14ac:dyDescent="0.35">
      <c r="A53" s="162" t="s">
        <v>98</v>
      </c>
      <c r="B53" s="162" t="s">
        <v>99</v>
      </c>
      <c r="C53" s="88"/>
      <c r="D53" s="72"/>
      <c r="E53" s="166"/>
      <c r="F53" s="163"/>
      <c r="G53" s="148"/>
      <c r="H53" s="93"/>
      <c r="I53" s="94"/>
      <c r="J53" s="95">
        <f t="shared" si="23"/>
        <v>0</v>
      </c>
      <c r="K53" s="164"/>
      <c r="L53" s="164"/>
      <c r="M53" s="94">
        <f t="shared" si="27"/>
        <v>0</v>
      </c>
      <c r="N53" s="94"/>
      <c r="O53" s="94"/>
      <c r="P53" s="94">
        <f t="shared" si="28"/>
        <v>0</v>
      </c>
      <c r="Q53" s="165">
        <v>175007.53</v>
      </c>
      <c r="R53" s="164">
        <f>P53-Q53</f>
        <v>-175007.53</v>
      </c>
      <c r="S53" s="98">
        <f t="shared" si="30"/>
        <v>0</v>
      </c>
      <c r="T53" s="99" t="str">
        <f t="shared" si="31"/>
        <v>-</v>
      </c>
      <c r="U53" s="142">
        <f t="shared" si="24"/>
        <v>0</v>
      </c>
      <c r="V53" s="100">
        <f t="shared" si="25"/>
        <v>0</v>
      </c>
      <c r="W53" s="83" t="str">
        <f t="shared" si="33"/>
        <v>-</v>
      </c>
    </row>
    <row r="54" spans="1:23" ht="13.35" hidden="1" customHeight="1" outlineLevel="1" x14ac:dyDescent="0.35">
      <c r="A54" s="162" t="s">
        <v>100</v>
      </c>
      <c r="B54" s="162" t="s">
        <v>101</v>
      </c>
      <c r="C54" s="88"/>
      <c r="D54" s="72"/>
      <c r="E54" s="166"/>
      <c r="F54" s="163"/>
      <c r="G54" s="148"/>
      <c r="H54" s="93"/>
      <c r="I54" s="94"/>
      <c r="J54" s="95">
        <f t="shared" si="23"/>
        <v>0</v>
      </c>
      <c r="K54" s="164"/>
      <c r="L54" s="164"/>
      <c r="M54" s="94">
        <f t="shared" si="27"/>
        <v>0</v>
      </c>
      <c r="N54" s="94"/>
      <c r="O54" s="94"/>
      <c r="P54" s="94">
        <f t="shared" si="28"/>
        <v>0</v>
      </c>
      <c r="Q54" s="165">
        <f>11038.81</f>
        <v>11038.81</v>
      </c>
      <c r="R54" s="164">
        <f>P54-Q54</f>
        <v>-11038.81</v>
      </c>
      <c r="S54" s="98">
        <f t="shared" si="30"/>
        <v>0</v>
      </c>
      <c r="T54" s="99" t="str">
        <f t="shared" si="31"/>
        <v>-</v>
      </c>
      <c r="U54" s="142">
        <f t="shared" si="24"/>
        <v>0</v>
      </c>
      <c r="V54" s="100">
        <f t="shared" si="25"/>
        <v>0</v>
      </c>
      <c r="W54" s="83" t="str">
        <f t="shared" si="33"/>
        <v>-</v>
      </c>
    </row>
    <row r="55" spans="1:23" ht="13.35" customHeight="1" collapsed="1" x14ac:dyDescent="0.4">
      <c r="A55" s="1" t="s">
        <v>102</v>
      </c>
      <c r="E55" s="149">
        <f>SUM(E40:E54)</f>
        <v>0</v>
      </c>
      <c r="F55" s="115">
        <f>F41+F46+F49</f>
        <v>158.14000000000001</v>
      </c>
      <c r="G55" s="116">
        <f t="shared" ref="G55:S55" si="34">SUM(G40:G54)</f>
        <v>-316.28000000000003</v>
      </c>
      <c r="H55" s="119">
        <f t="shared" si="34"/>
        <v>11113829</v>
      </c>
      <c r="I55" s="119">
        <f t="shared" si="34"/>
        <v>11643849</v>
      </c>
      <c r="J55" s="150">
        <f t="shared" si="34"/>
        <v>530020</v>
      </c>
      <c r="K55" s="119">
        <f t="shared" si="34"/>
        <v>0</v>
      </c>
      <c r="L55" s="119">
        <f t="shared" si="34"/>
        <v>0</v>
      </c>
      <c r="M55" s="119">
        <f t="shared" si="34"/>
        <v>0</v>
      </c>
      <c r="N55" s="119">
        <f t="shared" si="34"/>
        <v>11113829</v>
      </c>
      <c r="O55" s="167">
        <f t="shared" si="34"/>
        <v>530020</v>
      </c>
      <c r="P55" s="119">
        <f t="shared" si="34"/>
        <v>11643849</v>
      </c>
      <c r="Q55" s="121">
        <f t="shared" si="34"/>
        <v>2221710</v>
      </c>
      <c r="R55" s="119">
        <f t="shared" si="34"/>
        <v>8392543.8359999973</v>
      </c>
      <c r="S55" s="119">
        <f t="shared" si="34"/>
        <v>10614253.835999997</v>
      </c>
      <c r="T55" s="122">
        <f t="shared" si="31"/>
        <v>0.20931381841130492</v>
      </c>
      <c r="U55" s="151">
        <f>SUM(U40:U54)</f>
        <v>-1029595.1640000027</v>
      </c>
      <c r="V55" s="123">
        <f>SUM(V40:V54)</f>
        <v>1029595.1640000027</v>
      </c>
      <c r="W55" s="124">
        <f t="shared" si="33"/>
        <v>8.8423953625644119E-2</v>
      </c>
    </row>
    <row r="56" spans="1:23" ht="13.35" customHeight="1" x14ac:dyDescent="0.4">
      <c r="A56" s="1"/>
      <c r="B56" s="9"/>
      <c r="E56" s="125"/>
      <c r="F56" s="126"/>
      <c r="G56" s="127"/>
      <c r="H56" s="125"/>
      <c r="I56" s="110"/>
      <c r="J56" s="110"/>
      <c r="K56" s="110"/>
      <c r="L56" s="110"/>
      <c r="M56" s="110"/>
      <c r="N56" s="110"/>
      <c r="O56" s="110"/>
      <c r="P56" s="110"/>
      <c r="Q56" s="111"/>
      <c r="R56" s="110"/>
      <c r="S56" s="110"/>
      <c r="T56" s="81"/>
      <c r="U56" s="152"/>
      <c r="V56" s="153"/>
      <c r="W56" s="132"/>
    </row>
    <row r="57" spans="1:23" ht="13.35" customHeight="1" x14ac:dyDescent="0.4">
      <c r="A57" s="1"/>
      <c r="B57" s="9"/>
      <c r="E57" s="125"/>
      <c r="F57" s="126"/>
      <c r="G57" s="127"/>
      <c r="H57" s="125"/>
      <c r="I57" s="110"/>
      <c r="J57" s="110"/>
      <c r="K57" s="110"/>
      <c r="L57" s="110"/>
      <c r="M57" s="110"/>
      <c r="N57" s="110"/>
      <c r="O57" s="110"/>
      <c r="P57" s="110"/>
      <c r="Q57" s="111"/>
      <c r="R57" s="110"/>
      <c r="S57" s="110"/>
      <c r="T57" s="81"/>
      <c r="U57" s="152"/>
      <c r="V57" s="153"/>
      <c r="W57" s="132"/>
    </row>
    <row r="58" spans="1:23" ht="13.35" hidden="1" customHeight="1" outlineLevel="1" x14ac:dyDescent="0.4">
      <c r="A58" s="70" t="s">
        <v>103</v>
      </c>
      <c r="B58" s="9"/>
      <c r="E58" s="125"/>
      <c r="F58" s="126"/>
      <c r="G58" s="127"/>
      <c r="H58" s="125"/>
      <c r="I58" s="110"/>
      <c r="J58" s="110"/>
      <c r="K58" s="110"/>
      <c r="L58" s="110"/>
      <c r="M58" s="110"/>
      <c r="N58" s="110"/>
      <c r="O58" s="110"/>
      <c r="P58" s="110"/>
      <c r="Q58" s="111"/>
      <c r="R58" s="110"/>
      <c r="S58" s="110"/>
      <c r="T58" s="110"/>
      <c r="U58" s="154"/>
      <c r="V58" s="153"/>
      <c r="W58" s="132"/>
    </row>
    <row r="59" spans="1:23" ht="13.35" hidden="1" customHeight="1" outlineLevel="1" x14ac:dyDescent="0.35">
      <c r="A59" s="39" t="s">
        <v>104</v>
      </c>
      <c r="B59" s="10" t="s">
        <v>105</v>
      </c>
      <c r="D59" s="72" t="s">
        <v>41</v>
      </c>
      <c r="E59" s="73"/>
      <c r="F59" s="126">
        <v>8.5</v>
      </c>
      <c r="G59" s="75">
        <f t="shared" ref="G59:G60" si="35">E59-F59</f>
        <v>-8.5</v>
      </c>
      <c r="H59" s="93">
        <v>677700</v>
      </c>
      <c r="I59" s="77">
        <v>677700</v>
      </c>
      <c r="J59" s="85">
        <f t="shared" ref="J59:J67" si="36">I59-H59</f>
        <v>0</v>
      </c>
      <c r="K59" s="157"/>
      <c r="L59" s="157"/>
      <c r="M59" s="77">
        <f>K59+L59</f>
        <v>0</v>
      </c>
      <c r="N59" s="77">
        <v>677700</v>
      </c>
      <c r="O59" s="77"/>
      <c r="P59" s="77">
        <f>M59+N59+O59</f>
        <v>677700</v>
      </c>
      <c r="Q59" s="159">
        <f>74796.19+0.02</f>
        <v>74796.210000000006</v>
      </c>
      <c r="R59" s="160">
        <f>467000-Q59</f>
        <v>392203.79</v>
      </c>
      <c r="S59" s="161">
        <f t="shared" ref="S59:S66" si="37">SUM(Q59:R59)</f>
        <v>467000</v>
      </c>
      <c r="T59" s="99">
        <f t="shared" ref="T59:T66" si="38">IF(ISERR(Q59/S59),"-",Q59/S59)</f>
        <v>0.16016319057815848</v>
      </c>
      <c r="U59" s="142">
        <f t="shared" ref="U59:U67" si="39">S59-I59</f>
        <v>-210700</v>
      </c>
      <c r="V59" s="131">
        <f t="shared" ref="V59:V67" si="40">P59-S59</f>
        <v>210700</v>
      </c>
      <c r="W59" s="147">
        <f>IF(ISERR(V59/P59),"-",V59/P59)</f>
        <v>0.31090453002803603</v>
      </c>
    </row>
    <row r="60" spans="1:23" ht="13.35" hidden="1" customHeight="1" outlineLevel="1" x14ac:dyDescent="0.35">
      <c r="A60" s="39"/>
      <c r="D60" s="72" t="s">
        <v>42</v>
      </c>
      <c r="E60" s="73"/>
      <c r="F60" s="126">
        <f>F59</f>
        <v>8.5</v>
      </c>
      <c r="G60" s="75">
        <f t="shared" si="35"/>
        <v>-8.5</v>
      </c>
      <c r="H60" s="93"/>
      <c r="I60" s="77"/>
      <c r="J60" s="85"/>
      <c r="K60" s="157"/>
      <c r="L60" s="157"/>
      <c r="M60" s="77"/>
      <c r="N60" s="77"/>
      <c r="O60" s="77"/>
      <c r="P60" s="94"/>
      <c r="Q60" s="159"/>
      <c r="R60" s="161"/>
      <c r="S60" s="161"/>
      <c r="T60" s="99"/>
      <c r="U60" s="142"/>
      <c r="V60" s="131"/>
      <c r="W60" s="147"/>
    </row>
    <row r="61" spans="1:23" ht="13.35" hidden="1" customHeight="1" outlineLevel="1" x14ac:dyDescent="0.35">
      <c r="A61" s="39" t="s">
        <v>106</v>
      </c>
      <c r="B61" s="10" t="s">
        <v>107</v>
      </c>
      <c r="E61" s="106"/>
      <c r="F61" s="107"/>
      <c r="G61" s="108"/>
      <c r="H61" s="93"/>
      <c r="I61" s="94"/>
      <c r="J61" s="95">
        <f t="shared" si="36"/>
        <v>0</v>
      </c>
      <c r="K61" s="158"/>
      <c r="L61" s="158"/>
      <c r="M61" s="94">
        <f>K61+L61</f>
        <v>0</v>
      </c>
      <c r="N61" s="94"/>
      <c r="O61" s="94"/>
      <c r="P61" s="94">
        <f>M61+N61+O61</f>
        <v>0</v>
      </c>
      <c r="Q61" s="168">
        <v>2011.57</v>
      </c>
      <c r="R61" s="169">
        <f>P61-Q61</f>
        <v>-2011.57</v>
      </c>
      <c r="S61" s="98">
        <f t="shared" si="37"/>
        <v>0</v>
      </c>
      <c r="T61" s="99" t="str">
        <f t="shared" si="38"/>
        <v>-</v>
      </c>
      <c r="U61" s="142">
        <f t="shared" si="39"/>
        <v>0</v>
      </c>
      <c r="V61" s="100">
        <f t="shared" si="40"/>
        <v>0</v>
      </c>
      <c r="W61" s="147" t="str">
        <f t="shared" ref="W61:W68" si="41">IF(ISERR(V61/P61),"-",V61/P61)</f>
        <v>-</v>
      </c>
    </row>
    <row r="62" spans="1:23" ht="13.35" hidden="1" customHeight="1" outlineLevel="1" x14ac:dyDescent="0.35">
      <c r="A62" s="39" t="s">
        <v>108</v>
      </c>
      <c r="B62" s="39" t="s">
        <v>109</v>
      </c>
      <c r="E62" s="125"/>
      <c r="F62" s="126"/>
      <c r="G62" s="127"/>
      <c r="H62" s="93"/>
      <c r="I62" s="94"/>
      <c r="J62" s="95">
        <f t="shared" si="36"/>
        <v>0</v>
      </c>
      <c r="K62" s="158"/>
      <c r="L62" s="158"/>
      <c r="M62" s="94">
        <f t="shared" ref="M62:M67" si="42">K62+L62</f>
        <v>0</v>
      </c>
      <c r="N62" s="94"/>
      <c r="O62" s="94"/>
      <c r="P62" s="94">
        <f t="shared" ref="P62:P67" si="43">M62+N62+O62</f>
        <v>0</v>
      </c>
      <c r="Q62" s="168">
        <v>0</v>
      </c>
      <c r="R62" s="169">
        <v>0</v>
      </c>
      <c r="S62" s="98">
        <f>SUM(Q62:R62)</f>
        <v>0</v>
      </c>
      <c r="T62" s="99" t="str">
        <f>IF(ISERR(Q62/S62),"-",Q62/S62)</f>
        <v>-</v>
      </c>
      <c r="U62" s="142">
        <f t="shared" si="39"/>
        <v>0</v>
      </c>
      <c r="V62" s="100">
        <f t="shared" si="40"/>
        <v>0</v>
      </c>
      <c r="W62" s="83" t="str">
        <f t="shared" si="41"/>
        <v>-</v>
      </c>
    </row>
    <row r="63" spans="1:23" ht="13.35" hidden="1" customHeight="1" outlineLevel="1" x14ac:dyDescent="0.35">
      <c r="A63" s="39" t="s">
        <v>110</v>
      </c>
      <c r="B63" s="39" t="s">
        <v>111</v>
      </c>
      <c r="E63" s="125"/>
      <c r="F63" s="126"/>
      <c r="G63" s="127"/>
      <c r="H63" s="93"/>
      <c r="I63" s="94"/>
      <c r="J63" s="95">
        <f t="shared" si="36"/>
        <v>0</v>
      </c>
      <c r="K63" s="158"/>
      <c r="L63" s="158"/>
      <c r="M63" s="94">
        <f t="shared" si="42"/>
        <v>0</v>
      </c>
      <c r="N63" s="94"/>
      <c r="O63" s="94"/>
      <c r="P63" s="94">
        <f t="shared" si="43"/>
        <v>0</v>
      </c>
      <c r="Q63" s="168">
        <v>0</v>
      </c>
      <c r="R63" s="169">
        <v>0</v>
      </c>
      <c r="S63" s="98">
        <f>SUM(Q63:R63)</f>
        <v>0</v>
      </c>
      <c r="T63" s="99" t="str">
        <f>IF(ISERR(Q63/S63),"-",Q63/S63)</f>
        <v>-</v>
      </c>
      <c r="U63" s="142">
        <f t="shared" si="39"/>
        <v>0</v>
      </c>
      <c r="V63" s="100">
        <f t="shared" si="40"/>
        <v>0</v>
      </c>
      <c r="W63" s="83" t="str">
        <f t="shared" si="41"/>
        <v>-</v>
      </c>
    </row>
    <row r="64" spans="1:23" ht="13.35" hidden="1" customHeight="1" outlineLevel="1" x14ac:dyDescent="0.35">
      <c r="A64" s="39" t="s">
        <v>112</v>
      </c>
      <c r="B64" s="39" t="s">
        <v>113</v>
      </c>
      <c r="E64" s="125"/>
      <c r="F64" s="126"/>
      <c r="G64" s="127"/>
      <c r="H64" s="93"/>
      <c r="I64" s="94"/>
      <c r="J64" s="95">
        <f t="shared" si="36"/>
        <v>0</v>
      </c>
      <c r="K64" s="158"/>
      <c r="L64" s="158"/>
      <c r="M64" s="94">
        <f t="shared" si="42"/>
        <v>0</v>
      </c>
      <c r="N64" s="94"/>
      <c r="O64" s="94"/>
      <c r="P64" s="94">
        <f t="shared" si="43"/>
        <v>0</v>
      </c>
      <c r="Q64" s="168">
        <v>110954.25</v>
      </c>
      <c r="R64" s="169">
        <f>P64-Q64</f>
        <v>-110954.25</v>
      </c>
      <c r="S64" s="98">
        <f>SUM(Q64:R64)</f>
        <v>0</v>
      </c>
      <c r="T64" s="99" t="str">
        <f>IF(ISERR(Q64/S64),"-",Q64/S64)</f>
        <v>-</v>
      </c>
      <c r="U64" s="142">
        <f t="shared" si="39"/>
        <v>0</v>
      </c>
      <c r="V64" s="100">
        <f t="shared" si="40"/>
        <v>0</v>
      </c>
      <c r="W64" s="83" t="str">
        <f t="shared" si="41"/>
        <v>-</v>
      </c>
    </row>
    <row r="65" spans="1:23" ht="13.35" hidden="1" customHeight="1" outlineLevel="1" x14ac:dyDescent="0.35">
      <c r="A65" s="39" t="s">
        <v>114</v>
      </c>
      <c r="B65" s="39" t="s">
        <v>115</v>
      </c>
      <c r="E65" s="125"/>
      <c r="F65" s="126"/>
      <c r="G65" s="75"/>
      <c r="H65" s="93">
        <v>462000</v>
      </c>
      <c r="I65" s="94">
        <v>462000</v>
      </c>
      <c r="J65" s="95">
        <f t="shared" si="36"/>
        <v>0</v>
      </c>
      <c r="K65" s="158"/>
      <c r="L65" s="158"/>
      <c r="M65" s="94">
        <f t="shared" si="42"/>
        <v>0</v>
      </c>
      <c r="N65" s="94">
        <v>462000</v>
      </c>
      <c r="O65" s="94"/>
      <c r="P65" s="94">
        <f t="shared" si="43"/>
        <v>462000</v>
      </c>
      <c r="Q65" s="111">
        <v>45330.02</v>
      </c>
      <c r="R65" s="110">
        <f>P65-Q65</f>
        <v>416669.98</v>
      </c>
      <c r="S65" s="98">
        <f t="shared" si="37"/>
        <v>462000</v>
      </c>
      <c r="T65" s="99">
        <f t="shared" si="38"/>
        <v>9.8116926406926402E-2</v>
      </c>
      <c r="U65" s="142">
        <f t="shared" si="39"/>
        <v>0</v>
      </c>
      <c r="V65" s="100">
        <f t="shared" si="40"/>
        <v>0</v>
      </c>
      <c r="W65" s="147">
        <f t="shared" si="41"/>
        <v>0</v>
      </c>
    </row>
    <row r="66" spans="1:23" ht="13.35" hidden="1" customHeight="1" outlineLevel="1" x14ac:dyDescent="0.35">
      <c r="A66" s="39" t="s">
        <v>116</v>
      </c>
      <c r="B66" s="39" t="s">
        <v>117</v>
      </c>
      <c r="E66" s="125"/>
      <c r="F66" s="126"/>
      <c r="G66" s="75"/>
      <c r="H66" s="93"/>
      <c r="I66" s="94">
        <v>95000</v>
      </c>
      <c r="J66" s="95">
        <f t="shared" si="36"/>
        <v>95000</v>
      </c>
      <c r="K66" s="158"/>
      <c r="L66" s="158"/>
      <c r="M66" s="94">
        <f t="shared" si="42"/>
        <v>0</v>
      </c>
      <c r="N66" s="94"/>
      <c r="O66" s="94">
        <v>95000</v>
      </c>
      <c r="P66" s="94">
        <f t="shared" si="43"/>
        <v>95000</v>
      </c>
      <c r="Q66" s="111">
        <f>276202.44+1373.74+482.83+18863.66+1425.55+205.48+23586.89+907.01+5223.06+4357.34+5076.85+32752.56</f>
        <v>370457.41</v>
      </c>
      <c r="R66" s="110">
        <f>P66-Q66</f>
        <v>-275457.40999999997</v>
      </c>
      <c r="S66" s="98">
        <f t="shared" si="37"/>
        <v>95000</v>
      </c>
      <c r="T66" s="99">
        <f t="shared" si="38"/>
        <v>3.8995516842105262</v>
      </c>
      <c r="U66" s="142">
        <f t="shared" si="39"/>
        <v>0</v>
      </c>
      <c r="V66" s="100">
        <f t="shared" si="40"/>
        <v>0</v>
      </c>
      <c r="W66" s="147">
        <f t="shared" si="41"/>
        <v>0</v>
      </c>
    </row>
    <row r="67" spans="1:23" ht="13.35" hidden="1" customHeight="1" outlineLevel="1" x14ac:dyDescent="0.35">
      <c r="A67" s="39" t="s">
        <v>118</v>
      </c>
      <c r="B67" s="10" t="s">
        <v>119</v>
      </c>
      <c r="E67" s="166"/>
      <c r="F67" s="126"/>
      <c r="G67" s="75"/>
      <c r="H67" s="93">
        <v>237000</v>
      </c>
      <c r="I67" s="94">
        <v>237000</v>
      </c>
      <c r="J67" s="95">
        <f t="shared" si="36"/>
        <v>0</v>
      </c>
      <c r="K67" s="170"/>
      <c r="L67" s="110"/>
      <c r="M67" s="94">
        <f t="shared" si="42"/>
        <v>0</v>
      </c>
      <c r="N67" s="94">
        <v>237000</v>
      </c>
      <c r="O67" s="94"/>
      <c r="P67" s="94">
        <f t="shared" si="43"/>
        <v>237000</v>
      </c>
      <c r="Q67" s="171">
        <v>0</v>
      </c>
      <c r="R67" s="170">
        <v>0</v>
      </c>
      <c r="S67" s="98">
        <f>SUM(Q67:R67)</f>
        <v>0</v>
      </c>
      <c r="T67" s="99" t="str">
        <f>IF(ISERR(Q67/S67),"-",Q67/S67)</f>
        <v>-</v>
      </c>
      <c r="U67" s="142">
        <f t="shared" si="39"/>
        <v>-237000</v>
      </c>
      <c r="V67" s="100">
        <f t="shared" si="40"/>
        <v>237000</v>
      </c>
      <c r="W67" s="83">
        <f t="shared" si="41"/>
        <v>1</v>
      </c>
    </row>
    <row r="68" spans="1:23" ht="13.35" customHeight="1" collapsed="1" x14ac:dyDescent="0.4">
      <c r="A68" s="1" t="s">
        <v>120</v>
      </c>
      <c r="E68" s="149">
        <f>E60</f>
        <v>0</v>
      </c>
      <c r="F68" s="115">
        <f t="shared" ref="F68:G68" si="44">F60</f>
        <v>8.5</v>
      </c>
      <c r="G68" s="116">
        <f t="shared" si="44"/>
        <v>-8.5</v>
      </c>
      <c r="H68" s="119">
        <f>SUM(H59:H67)</f>
        <v>1376700</v>
      </c>
      <c r="I68" s="119">
        <f t="shared" ref="I68:S68" si="45">SUM(I59:I67)</f>
        <v>1471700</v>
      </c>
      <c r="J68" s="150">
        <f t="shared" si="45"/>
        <v>95000</v>
      </c>
      <c r="K68" s="119">
        <f t="shared" si="45"/>
        <v>0</v>
      </c>
      <c r="L68" s="119">
        <f t="shared" si="45"/>
        <v>0</v>
      </c>
      <c r="M68" s="119">
        <f t="shared" si="45"/>
        <v>0</v>
      </c>
      <c r="N68" s="119">
        <f t="shared" si="45"/>
        <v>1376700</v>
      </c>
      <c r="O68" s="119">
        <f t="shared" si="45"/>
        <v>95000</v>
      </c>
      <c r="P68" s="119">
        <f t="shared" si="45"/>
        <v>1471700</v>
      </c>
      <c r="Q68" s="121">
        <f t="shared" si="45"/>
        <v>603549.46</v>
      </c>
      <c r="R68" s="119">
        <f t="shared" si="45"/>
        <v>420450.54</v>
      </c>
      <c r="S68" s="119">
        <f t="shared" si="45"/>
        <v>1024000</v>
      </c>
      <c r="T68" s="122">
        <f>IF(ISERR(Q68/S68),"-",Q68/S68)</f>
        <v>0.58940376953124995</v>
      </c>
      <c r="U68" s="151">
        <f>SUM(U59:U67)</f>
        <v>-447700</v>
      </c>
      <c r="V68" s="123">
        <f>SUM(V59:V67)</f>
        <v>447700</v>
      </c>
      <c r="W68" s="124">
        <f t="shared" si="41"/>
        <v>0.30420602024869198</v>
      </c>
    </row>
    <row r="69" spans="1:23" ht="13.35" customHeight="1" x14ac:dyDescent="0.4">
      <c r="A69" s="1"/>
      <c r="E69" s="125"/>
      <c r="F69" s="126"/>
      <c r="G69" s="127"/>
      <c r="H69" s="125"/>
      <c r="I69" s="128"/>
      <c r="J69" s="128"/>
      <c r="K69" s="128"/>
      <c r="L69" s="128"/>
      <c r="M69" s="128"/>
      <c r="N69" s="128"/>
      <c r="O69" s="128"/>
      <c r="P69" s="128"/>
      <c r="Q69" s="129"/>
      <c r="R69" s="128"/>
      <c r="S69" s="128"/>
      <c r="T69" s="128"/>
      <c r="U69" s="172"/>
      <c r="V69" s="131"/>
      <c r="W69" s="132"/>
    </row>
    <row r="70" spans="1:23" ht="13.35" customHeight="1" x14ac:dyDescent="0.4">
      <c r="A70" s="1"/>
      <c r="E70" s="125"/>
      <c r="F70" s="126"/>
      <c r="G70" s="127"/>
      <c r="H70" s="125"/>
      <c r="I70" s="128"/>
      <c r="J70" s="128"/>
      <c r="K70" s="128"/>
      <c r="L70" s="128"/>
      <c r="M70" s="128"/>
      <c r="N70" s="128"/>
      <c r="O70" s="128"/>
      <c r="P70" s="128"/>
      <c r="Q70" s="129"/>
      <c r="R70" s="128"/>
      <c r="S70" s="128"/>
      <c r="T70" s="128"/>
      <c r="U70" s="172"/>
      <c r="V70" s="131"/>
      <c r="W70" s="132"/>
    </row>
    <row r="71" spans="1:23" ht="13.35" hidden="1" customHeight="1" outlineLevel="1" x14ac:dyDescent="0.4">
      <c r="A71" s="70" t="s">
        <v>121</v>
      </c>
      <c r="B71" s="9"/>
      <c r="E71" s="125"/>
      <c r="F71" s="126"/>
      <c r="G71" s="127"/>
      <c r="H71" s="125"/>
      <c r="I71" s="110"/>
      <c r="J71" s="110"/>
      <c r="K71" s="110"/>
      <c r="L71" s="110"/>
      <c r="M71" s="110"/>
      <c r="N71" s="110"/>
      <c r="O71" s="110"/>
      <c r="P71" s="110"/>
      <c r="Q71" s="111"/>
      <c r="R71" s="110"/>
      <c r="S71" s="110"/>
      <c r="T71" s="110"/>
      <c r="U71" s="154"/>
      <c r="V71" s="153"/>
      <c r="W71" s="132"/>
    </row>
    <row r="72" spans="1:23" ht="13.35" hidden="1" customHeight="1" outlineLevel="1" x14ac:dyDescent="0.35">
      <c r="A72" s="39" t="s">
        <v>122</v>
      </c>
      <c r="B72" s="10" t="s">
        <v>123</v>
      </c>
      <c r="D72" s="72"/>
      <c r="E72" s="73"/>
      <c r="F72" s="107">
        <v>0</v>
      </c>
      <c r="G72" s="75"/>
      <c r="H72" s="155"/>
      <c r="I72" s="77"/>
      <c r="J72" s="85">
        <f>I72-H72</f>
        <v>0</v>
      </c>
      <c r="K72" s="157"/>
      <c r="L72" s="157"/>
      <c r="M72" s="77">
        <f>K72+L72</f>
        <v>0</v>
      </c>
      <c r="N72" s="77"/>
      <c r="O72" s="77"/>
      <c r="P72" s="77">
        <f>M72+N72+O72</f>
        <v>0</v>
      </c>
      <c r="Q72" s="159">
        <v>426923.3</v>
      </c>
      <c r="R72" s="169">
        <f>P72-Q72</f>
        <v>-426923.3</v>
      </c>
      <c r="S72" s="161">
        <f>SUM(Q72:R72)</f>
        <v>0</v>
      </c>
      <c r="T72" s="99" t="str">
        <f>IF(ISERR(Q72/S72),"-",Q72/S72)</f>
        <v>-</v>
      </c>
      <c r="U72" s="142">
        <f>S72-I72</f>
        <v>0</v>
      </c>
      <c r="V72" s="131">
        <f t="shared" ref="V72:V74" si="46">P72-S72</f>
        <v>0</v>
      </c>
      <c r="W72" s="147" t="str">
        <f>IF(ISERR(V72/P72),"-",V72/P72)</f>
        <v>-</v>
      </c>
    </row>
    <row r="73" spans="1:23" ht="13.35" hidden="1" customHeight="1" outlineLevel="1" x14ac:dyDescent="0.35">
      <c r="A73" s="39" t="s">
        <v>124</v>
      </c>
      <c r="B73" s="10" t="s">
        <v>61</v>
      </c>
      <c r="E73" s="125"/>
      <c r="F73" s="126"/>
      <c r="G73" s="127"/>
      <c r="H73" s="112">
        <v>521000</v>
      </c>
      <c r="I73" s="94">
        <v>521000</v>
      </c>
      <c r="J73" s="95">
        <f>I73-H73</f>
        <v>0</v>
      </c>
      <c r="K73" s="158"/>
      <c r="L73" s="158"/>
      <c r="M73" s="86">
        <f>K73+L73</f>
        <v>0</v>
      </c>
      <c r="N73" s="86">
        <v>521000</v>
      </c>
      <c r="O73" s="86"/>
      <c r="P73" s="86">
        <f>M73+N73+O73</f>
        <v>521000</v>
      </c>
      <c r="Q73" s="168">
        <v>24623.29</v>
      </c>
      <c r="R73" s="169">
        <f>P73-Q73</f>
        <v>496376.71</v>
      </c>
      <c r="S73" s="98">
        <f>SUM(Q73:R73)</f>
        <v>521000</v>
      </c>
      <c r="T73" s="99">
        <f>IF(ISERR(Q73/S73),"-",Q73/S73)</f>
        <v>4.7261593090211135E-2</v>
      </c>
      <c r="U73" s="142">
        <f>S73-I73</f>
        <v>0</v>
      </c>
      <c r="V73" s="100">
        <f t="shared" si="46"/>
        <v>0</v>
      </c>
      <c r="W73" s="147">
        <f>IF(ISERR(V73/P73),"-",V73/P73)</f>
        <v>0</v>
      </c>
    </row>
    <row r="74" spans="1:23" ht="13.35" hidden="1" customHeight="1" outlineLevel="1" x14ac:dyDescent="0.35">
      <c r="A74" s="39" t="s">
        <v>125</v>
      </c>
      <c r="B74" s="10" t="s">
        <v>126</v>
      </c>
      <c r="E74" s="125"/>
      <c r="F74" s="126"/>
      <c r="G74" s="127"/>
      <c r="H74" s="112"/>
      <c r="I74" s="94"/>
      <c r="J74" s="95">
        <f>I74-H74</f>
        <v>0</v>
      </c>
      <c r="K74" s="158"/>
      <c r="L74" s="158"/>
      <c r="M74" s="86">
        <f>K74+L74</f>
        <v>0</v>
      </c>
      <c r="N74" s="86"/>
      <c r="O74" s="86"/>
      <c r="P74" s="86">
        <f>M74+N74+O74</f>
        <v>0</v>
      </c>
      <c r="Q74" s="168">
        <v>19558.75</v>
      </c>
      <c r="R74" s="169">
        <f>P74-Q74</f>
        <v>-19558.75</v>
      </c>
      <c r="S74" s="98">
        <f>SUM(Q74:R74)</f>
        <v>0</v>
      </c>
      <c r="T74" s="99" t="str">
        <f>IF(ISERR(Q74/S74),"-",Q74/S74)</f>
        <v>-</v>
      </c>
      <c r="U74" s="142">
        <f>S74-I74</f>
        <v>0</v>
      </c>
      <c r="V74" s="100">
        <f t="shared" si="46"/>
        <v>0</v>
      </c>
      <c r="W74" s="147" t="str">
        <f>IF(ISERR(V74/P74),"-",V74/P74)</f>
        <v>-</v>
      </c>
    </row>
    <row r="75" spans="1:23" ht="13.35" customHeight="1" collapsed="1" x14ac:dyDescent="0.4">
      <c r="A75" s="1" t="s">
        <v>127</v>
      </c>
      <c r="E75" s="149">
        <f t="shared" ref="E75:G75" si="47">SUM(E72:E74)</f>
        <v>0</v>
      </c>
      <c r="F75" s="115">
        <f t="shared" si="47"/>
        <v>0</v>
      </c>
      <c r="G75" s="116">
        <f t="shared" si="47"/>
        <v>0</v>
      </c>
      <c r="H75" s="119">
        <f>SUM(H72:H74)</f>
        <v>521000</v>
      </c>
      <c r="I75" s="119">
        <f t="shared" ref="I75:S75" si="48">SUM(I72:I74)</f>
        <v>521000</v>
      </c>
      <c r="J75" s="150">
        <f t="shared" si="48"/>
        <v>0</v>
      </c>
      <c r="K75" s="119">
        <f t="shared" si="48"/>
        <v>0</v>
      </c>
      <c r="L75" s="119">
        <f t="shared" si="48"/>
        <v>0</v>
      </c>
      <c r="M75" s="119">
        <f t="shared" si="48"/>
        <v>0</v>
      </c>
      <c r="N75" s="119">
        <f t="shared" si="48"/>
        <v>521000</v>
      </c>
      <c r="O75" s="119">
        <f t="shared" si="48"/>
        <v>0</v>
      </c>
      <c r="P75" s="119">
        <f t="shared" si="48"/>
        <v>521000</v>
      </c>
      <c r="Q75" s="121">
        <f t="shared" si="48"/>
        <v>471105.33999999997</v>
      </c>
      <c r="R75" s="173">
        <f t="shared" si="48"/>
        <v>49894.660000000033</v>
      </c>
      <c r="S75" s="119">
        <f t="shared" si="48"/>
        <v>521000</v>
      </c>
      <c r="T75" s="122">
        <f>IF(ISERR(Q75/S75),"-",Q75/S75)</f>
        <v>0.90423289827255271</v>
      </c>
      <c r="U75" s="151">
        <f>SUM(U72:U74)</f>
        <v>0</v>
      </c>
      <c r="V75" s="123">
        <f>SUM(V72:V74)</f>
        <v>0</v>
      </c>
      <c r="W75" s="124">
        <f>IF(ISERR(V75/P75),"-",V75/P75)</f>
        <v>0</v>
      </c>
    </row>
    <row r="76" spans="1:23" ht="13.35" customHeight="1" x14ac:dyDescent="0.4">
      <c r="A76" s="1"/>
      <c r="E76" s="125"/>
      <c r="F76" s="126"/>
      <c r="G76" s="127"/>
      <c r="H76" s="125"/>
      <c r="I76" s="110"/>
      <c r="J76" s="110"/>
      <c r="K76" s="110"/>
      <c r="L76" s="110"/>
      <c r="M76" s="110"/>
      <c r="N76" s="110"/>
      <c r="O76" s="110"/>
      <c r="P76" s="110"/>
      <c r="Q76" s="111"/>
      <c r="R76" s="110"/>
      <c r="S76" s="110"/>
      <c r="T76" s="110"/>
      <c r="U76" s="154"/>
      <c r="V76" s="153"/>
      <c r="W76" s="132"/>
    </row>
    <row r="77" spans="1:23" ht="13.35" customHeight="1" x14ac:dyDescent="0.4">
      <c r="A77" s="9"/>
      <c r="B77" s="9"/>
      <c r="E77" s="125"/>
      <c r="F77" s="126"/>
      <c r="G77" s="127"/>
      <c r="H77" s="125"/>
      <c r="Q77" s="64"/>
      <c r="U77" s="68"/>
      <c r="V77" s="138"/>
      <c r="W77" s="139"/>
    </row>
    <row r="78" spans="1:23" ht="13.35" hidden="1" customHeight="1" outlineLevel="1" x14ac:dyDescent="0.4">
      <c r="A78" s="70" t="s">
        <v>128</v>
      </c>
      <c r="B78" s="9"/>
      <c r="E78" s="125"/>
      <c r="F78" s="126"/>
      <c r="G78" s="127"/>
      <c r="H78" s="125"/>
      <c r="Q78" s="64"/>
      <c r="U78" s="68"/>
      <c r="V78" s="138"/>
      <c r="W78" s="139"/>
    </row>
    <row r="79" spans="1:23" s="101" customFormat="1" ht="13.35" hidden="1" customHeight="1" outlineLevel="1" x14ac:dyDescent="0.45">
      <c r="A79" s="71" t="s">
        <v>129</v>
      </c>
      <c r="B79" s="71" t="s">
        <v>130</v>
      </c>
      <c r="D79" s="72" t="s">
        <v>41</v>
      </c>
      <c r="E79" s="73"/>
      <c r="F79" s="103">
        <f>181.85+5+1</f>
        <v>187.85</v>
      </c>
      <c r="G79" s="75">
        <f t="shared" ref="G79:G80" si="49">E79-F79</f>
        <v>-187.85</v>
      </c>
      <c r="H79" s="155">
        <f>10767100+2423200</f>
        <v>13190300</v>
      </c>
      <c r="I79" s="77">
        <v>13190300</v>
      </c>
      <c r="J79" s="85">
        <f>I79-H79</f>
        <v>0</v>
      </c>
      <c r="K79" s="174"/>
      <c r="L79" s="174"/>
      <c r="M79" s="77">
        <f>K79+L79</f>
        <v>0</v>
      </c>
      <c r="N79" s="77">
        <v>13190300</v>
      </c>
      <c r="O79" s="77"/>
      <c r="P79" s="77">
        <f>M79+N79+O79</f>
        <v>13190300</v>
      </c>
      <c r="Q79" s="175">
        <f>2262745.07+5175</f>
        <v>2267920.0699999998</v>
      </c>
      <c r="R79" s="176">
        <f>12100000-Q79</f>
        <v>9832079.9299999997</v>
      </c>
      <c r="S79" s="177">
        <f>SUM(Q79:R79)</f>
        <v>12100000</v>
      </c>
      <c r="T79" s="81">
        <f t="shared" ref="T79:T103" si="50">IF(ISERR(Q79/S79),"-",Q79/S79)</f>
        <v>0.18743141074380165</v>
      </c>
      <c r="U79" s="142">
        <f t="shared" ref="U79:U103" si="51">S79-I79</f>
        <v>-1090300</v>
      </c>
      <c r="V79" s="178">
        <f t="shared" ref="V79:V103" si="52">P79-S79</f>
        <v>1090300</v>
      </c>
      <c r="W79" s="83">
        <f>IF(ISERR(V79/P79),"-",V79/P79)</f>
        <v>8.2659226856098805E-2</v>
      </c>
    </row>
    <row r="80" spans="1:23" s="101" customFormat="1" ht="13.35" hidden="1" customHeight="1" outlineLevel="1" x14ac:dyDescent="0.45">
      <c r="A80" s="71"/>
      <c r="B80" s="71"/>
      <c r="D80" s="72" t="s">
        <v>42</v>
      </c>
      <c r="E80" s="73"/>
      <c r="F80" s="103">
        <f>F79+0.06</f>
        <v>187.91</v>
      </c>
      <c r="G80" s="75">
        <f t="shared" si="49"/>
        <v>-187.91</v>
      </c>
      <c r="H80" s="155"/>
      <c r="I80" s="77"/>
      <c r="J80" s="85"/>
      <c r="K80" s="174"/>
      <c r="L80" s="174"/>
      <c r="M80" s="77"/>
      <c r="N80" s="77"/>
      <c r="O80" s="77"/>
      <c r="P80" s="86"/>
      <c r="Q80" s="175"/>
      <c r="R80" s="177"/>
      <c r="S80" s="177"/>
      <c r="T80" s="81"/>
      <c r="U80" s="142"/>
      <c r="V80" s="178"/>
      <c r="W80" s="83"/>
    </row>
    <row r="81" spans="1:23" s="101" customFormat="1" ht="13.35" hidden="1" customHeight="1" outlineLevel="1" x14ac:dyDescent="0.35">
      <c r="A81" s="71" t="s">
        <v>131</v>
      </c>
      <c r="B81" s="71" t="s">
        <v>132</v>
      </c>
      <c r="D81" s="72"/>
      <c r="E81" s="102"/>
      <c r="F81" s="103"/>
      <c r="G81" s="179"/>
      <c r="H81" s="93">
        <v>9600</v>
      </c>
      <c r="I81" s="94">
        <v>9600</v>
      </c>
      <c r="J81" s="95">
        <f>I81-H81</f>
        <v>0</v>
      </c>
      <c r="K81" s="174"/>
      <c r="L81" s="174"/>
      <c r="M81" s="86">
        <f>K81+L81</f>
        <v>0</v>
      </c>
      <c r="N81" s="86">
        <v>9600</v>
      </c>
      <c r="O81" s="86"/>
      <c r="P81" s="86">
        <f>M81+N81+O81</f>
        <v>9600</v>
      </c>
      <c r="Q81" s="64">
        <v>39450.75</v>
      </c>
      <c r="R81" s="176">
        <f>192000-Q81</f>
        <v>152549.25</v>
      </c>
      <c r="S81" s="94">
        <f>SUM(Q81:R81)</f>
        <v>192000</v>
      </c>
      <c r="T81" s="81">
        <f t="shared" ref="T81:T84" si="53">IF(ISERR(Q81/S81),"-",Q81/S81)</f>
        <v>0.20547265625</v>
      </c>
      <c r="U81" s="142">
        <f t="shared" si="51"/>
        <v>182400</v>
      </c>
      <c r="V81" s="143">
        <f t="shared" si="52"/>
        <v>-182400</v>
      </c>
      <c r="W81" s="83">
        <f>IF(ISERR(V81/P81),"-",V81/P81)</f>
        <v>-19</v>
      </c>
    </row>
    <row r="82" spans="1:23" s="101" customFormat="1" ht="13.35" hidden="1" customHeight="1" outlineLevel="1" x14ac:dyDescent="0.35">
      <c r="A82" s="71" t="s">
        <v>133</v>
      </c>
      <c r="B82" s="71" t="s">
        <v>134</v>
      </c>
      <c r="D82" s="72"/>
      <c r="E82" s="102"/>
      <c r="F82" s="103"/>
      <c r="G82" s="179"/>
      <c r="H82" s="93">
        <v>62700</v>
      </c>
      <c r="I82" s="94">
        <v>62700</v>
      </c>
      <c r="J82" s="95">
        <f>I82-H82</f>
        <v>0</v>
      </c>
      <c r="K82" s="174"/>
      <c r="L82" s="174"/>
      <c r="M82" s="86">
        <f>K82+L82</f>
        <v>0</v>
      </c>
      <c r="N82" s="86">
        <v>62700</v>
      </c>
      <c r="O82" s="86"/>
      <c r="P82" s="86">
        <f>M82+N82+O82</f>
        <v>62700</v>
      </c>
      <c r="Q82" s="64">
        <v>12146.82</v>
      </c>
      <c r="R82" s="176">
        <f>107000-Q82</f>
        <v>94853.18</v>
      </c>
      <c r="S82" s="94">
        <f>SUM(Q82:R82)</f>
        <v>107000</v>
      </c>
      <c r="T82" s="81">
        <f t="shared" si="53"/>
        <v>0.11352168224299065</v>
      </c>
      <c r="U82" s="142">
        <f t="shared" si="51"/>
        <v>44300</v>
      </c>
      <c r="V82" s="143">
        <f t="shared" si="52"/>
        <v>-44300</v>
      </c>
      <c r="W82" s="83">
        <f>IF(ISERR(V82/P82),"-",V82/P82)</f>
        <v>-0.70653907496012758</v>
      </c>
    </row>
    <row r="83" spans="1:23" s="101" customFormat="1" ht="13.35" hidden="1" customHeight="1" outlineLevel="1" x14ac:dyDescent="0.35">
      <c r="A83" s="71" t="s">
        <v>135</v>
      </c>
      <c r="B83" s="71" t="s">
        <v>136</v>
      </c>
      <c r="D83" s="72"/>
      <c r="E83" s="102"/>
      <c r="F83" s="103"/>
      <c r="G83" s="179"/>
      <c r="H83" s="93"/>
      <c r="I83" s="94"/>
      <c r="J83" s="95">
        <f t="shared" ref="J83:J103" si="54">I83-H83</f>
        <v>0</v>
      </c>
      <c r="K83" s="174"/>
      <c r="L83" s="174"/>
      <c r="M83" s="86">
        <f t="shared" ref="M83:M103" si="55">K83+L83</f>
        <v>0</v>
      </c>
      <c r="N83" s="86"/>
      <c r="O83" s="86"/>
      <c r="P83" s="86">
        <f t="shared" ref="P83:P103" si="56">M83+N83+O83</f>
        <v>0</v>
      </c>
      <c r="Q83" s="64">
        <v>95090.36</v>
      </c>
      <c r="R83" s="176">
        <f>570000-Q83</f>
        <v>474909.64</v>
      </c>
      <c r="S83" s="94">
        <f t="shared" ref="S83:S103" si="57">SUM(Q83:R83)</f>
        <v>570000</v>
      </c>
      <c r="T83" s="81">
        <f t="shared" si="53"/>
        <v>0.16682519298245613</v>
      </c>
      <c r="U83" s="142">
        <f t="shared" si="51"/>
        <v>570000</v>
      </c>
      <c r="V83" s="143">
        <f t="shared" si="52"/>
        <v>-570000</v>
      </c>
      <c r="W83" s="83" t="str">
        <f>IF(ISERR(V83/P83),"-",V83/P83)</f>
        <v>-</v>
      </c>
    </row>
    <row r="84" spans="1:23" s="101" customFormat="1" ht="13.35" hidden="1" customHeight="1" outlineLevel="1" x14ac:dyDescent="0.45">
      <c r="A84" s="71" t="s">
        <v>137</v>
      </c>
      <c r="B84" s="71" t="s">
        <v>138</v>
      </c>
      <c r="E84" s="102"/>
      <c r="F84" s="103"/>
      <c r="G84" s="104"/>
      <c r="H84" s="93">
        <f>440000+100300</f>
        <v>540300</v>
      </c>
      <c r="I84" s="94">
        <v>540300</v>
      </c>
      <c r="J84" s="95">
        <f t="shared" si="54"/>
        <v>0</v>
      </c>
      <c r="K84" s="180"/>
      <c r="L84" s="180"/>
      <c r="M84" s="86">
        <f t="shared" si="55"/>
        <v>0</v>
      </c>
      <c r="N84" s="86">
        <v>540300</v>
      </c>
      <c r="O84" s="86"/>
      <c r="P84" s="86">
        <f t="shared" si="56"/>
        <v>540300</v>
      </c>
      <c r="Q84" s="181">
        <v>296700.93</v>
      </c>
      <c r="R84" s="182">
        <f>1000000-Q84</f>
        <v>703299.07000000007</v>
      </c>
      <c r="S84" s="94">
        <f t="shared" si="57"/>
        <v>1000000</v>
      </c>
      <c r="T84" s="81">
        <f t="shared" si="53"/>
        <v>0.29670092999999997</v>
      </c>
      <c r="U84" s="142">
        <f t="shared" si="51"/>
        <v>459700</v>
      </c>
      <c r="V84" s="143">
        <f t="shared" si="52"/>
        <v>-459700</v>
      </c>
      <c r="W84" s="83">
        <f>IF(ISERR(V84/P84),"-",V84/P84)</f>
        <v>-0.85082361650934668</v>
      </c>
    </row>
    <row r="85" spans="1:23" s="101" customFormat="1" ht="13.35" hidden="1" customHeight="1" outlineLevel="1" x14ac:dyDescent="0.45">
      <c r="A85" s="71" t="s">
        <v>139</v>
      </c>
      <c r="B85" s="71" t="s">
        <v>140</v>
      </c>
      <c r="E85" s="102"/>
      <c r="F85" s="103"/>
      <c r="G85" s="104"/>
      <c r="H85" s="93">
        <v>8834300</v>
      </c>
      <c r="I85" s="94">
        <v>8834300</v>
      </c>
      <c r="J85" s="95">
        <f t="shared" si="54"/>
        <v>0</v>
      </c>
      <c r="K85" s="180"/>
      <c r="L85" s="180"/>
      <c r="M85" s="86">
        <f t="shared" si="55"/>
        <v>0</v>
      </c>
      <c r="N85" s="86">
        <v>8834300</v>
      </c>
      <c r="O85" s="86"/>
      <c r="P85" s="86">
        <f t="shared" si="56"/>
        <v>8834300</v>
      </c>
      <c r="Q85" s="181">
        <v>714185.65</v>
      </c>
      <c r="R85" s="182">
        <f>7509824-Q85</f>
        <v>6795638.3499999996</v>
      </c>
      <c r="S85" s="94">
        <f t="shared" si="57"/>
        <v>7509824</v>
      </c>
      <c r="T85" s="81">
        <f t="shared" si="50"/>
        <v>9.5100184771307564E-2</v>
      </c>
      <c r="U85" s="142">
        <f t="shared" si="51"/>
        <v>-1324476</v>
      </c>
      <c r="V85" s="143">
        <f t="shared" si="52"/>
        <v>1324476</v>
      </c>
      <c r="W85" s="83">
        <f t="shared" ref="W85:W104" si="58">IF(ISERR(V85/P85),"-",V85/P85)</f>
        <v>0.14992427243811055</v>
      </c>
    </row>
    <row r="86" spans="1:23" ht="13.35" hidden="1" customHeight="1" outlineLevel="1" x14ac:dyDescent="0.35">
      <c r="A86" s="39" t="s">
        <v>141</v>
      </c>
      <c r="B86" s="39" t="s">
        <v>142</v>
      </c>
      <c r="E86" s="125"/>
      <c r="F86" s="126"/>
      <c r="G86" s="127"/>
      <c r="H86" s="93">
        <v>693100</v>
      </c>
      <c r="I86" s="94">
        <v>693100</v>
      </c>
      <c r="J86" s="95">
        <f t="shared" si="54"/>
        <v>0</v>
      </c>
      <c r="K86" s="158"/>
      <c r="L86" s="158"/>
      <c r="M86" s="86">
        <f t="shared" si="55"/>
        <v>0</v>
      </c>
      <c r="N86" s="86">
        <v>693100</v>
      </c>
      <c r="O86" s="86"/>
      <c r="P86" s="86">
        <f t="shared" si="56"/>
        <v>693100</v>
      </c>
      <c r="Q86" s="168">
        <v>79321.69</v>
      </c>
      <c r="R86" s="183">
        <f>670000-Q86</f>
        <v>590678.31000000006</v>
      </c>
      <c r="S86" s="98">
        <f t="shared" si="57"/>
        <v>670000</v>
      </c>
      <c r="T86" s="99">
        <f t="shared" si="50"/>
        <v>0.11839058208955225</v>
      </c>
      <c r="U86" s="142">
        <f t="shared" si="51"/>
        <v>-23100</v>
      </c>
      <c r="V86" s="100">
        <f t="shared" si="52"/>
        <v>23100</v>
      </c>
      <c r="W86" s="147">
        <f t="shared" si="58"/>
        <v>3.3328524022507577E-2</v>
      </c>
    </row>
    <row r="87" spans="1:23" ht="13.35" hidden="1" customHeight="1" outlineLevel="1" x14ac:dyDescent="0.35">
      <c r="A87" s="39" t="s">
        <v>143</v>
      </c>
      <c r="B87" s="39" t="s">
        <v>144</v>
      </c>
      <c r="E87" s="125"/>
      <c r="F87" s="126"/>
      <c r="G87" s="127"/>
      <c r="H87" s="112"/>
      <c r="I87" s="94"/>
      <c r="J87" s="95">
        <f t="shared" si="54"/>
        <v>0</v>
      </c>
      <c r="K87" s="158"/>
      <c r="L87" s="158"/>
      <c r="M87" s="86">
        <f t="shared" si="55"/>
        <v>0</v>
      </c>
      <c r="N87" s="86"/>
      <c r="O87" s="86"/>
      <c r="P87" s="86">
        <f t="shared" si="56"/>
        <v>0</v>
      </c>
      <c r="Q87" s="168"/>
      <c r="R87" s="169"/>
      <c r="S87" s="98">
        <f t="shared" si="57"/>
        <v>0</v>
      </c>
      <c r="T87" s="99" t="str">
        <f t="shared" si="50"/>
        <v>-</v>
      </c>
      <c r="U87" s="142">
        <f t="shared" si="51"/>
        <v>0</v>
      </c>
      <c r="V87" s="100">
        <f t="shared" si="52"/>
        <v>0</v>
      </c>
      <c r="W87" s="147" t="str">
        <f t="shared" si="58"/>
        <v>-</v>
      </c>
    </row>
    <row r="88" spans="1:23" ht="13.35" hidden="1" customHeight="1" outlineLevel="1" x14ac:dyDescent="0.35">
      <c r="A88" s="39" t="s">
        <v>145</v>
      </c>
      <c r="B88" s="39" t="s">
        <v>146</v>
      </c>
      <c r="E88" s="125"/>
      <c r="F88" s="126"/>
      <c r="G88" s="127"/>
      <c r="H88" s="112">
        <v>1605500</v>
      </c>
      <c r="I88" s="94">
        <v>1605500</v>
      </c>
      <c r="J88" s="95">
        <f t="shared" si="54"/>
        <v>0</v>
      </c>
      <c r="K88" s="158"/>
      <c r="L88" s="158"/>
      <c r="M88" s="86">
        <f t="shared" si="55"/>
        <v>0</v>
      </c>
      <c r="N88" s="86">
        <v>1605500</v>
      </c>
      <c r="O88" s="86"/>
      <c r="P88" s="86">
        <f t="shared" si="56"/>
        <v>1605500</v>
      </c>
      <c r="Q88" s="168">
        <v>157969.23000000001</v>
      </c>
      <c r="R88" s="183">
        <f>1530000-Q88</f>
        <v>1372030.77</v>
      </c>
      <c r="S88" s="98">
        <f t="shared" si="57"/>
        <v>1530000</v>
      </c>
      <c r="T88" s="99">
        <f t="shared" si="50"/>
        <v>0.10324786274509805</v>
      </c>
      <c r="U88" s="142">
        <f t="shared" si="51"/>
        <v>-75500</v>
      </c>
      <c r="V88" s="100">
        <f t="shared" si="52"/>
        <v>75500</v>
      </c>
      <c r="W88" s="147">
        <f t="shared" si="58"/>
        <v>4.7025848645281844E-2</v>
      </c>
    </row>
    <row r="89" spans="1:23" s="101" customFormat="1" ht="13.35" hidden="1" customHeight="1" outlineLevel="1" x14ac:dyDescent="0.45">
      <c r="A89" s="71" t="s">
        <v>147</v>
      </c>
      <c r="B89" s="71" t="s">
        <v>148</v>
      </c>
      <c r="E89" s="102"/>
      <c r="F89" s="103"/>
      <c r="G89" s="104"/>
      <c r="H89" s="93">
        <v>462100</v>
      </c>
      <c r="I89" s="94">
        <v>462100</v>
      </c>
      <c r="J89" s="95">
        <f t="shared" si="54"/>
        <v>0</v>
      </c>
      <c r="K89" s="180"/>
      <c r="L89" s="180"/>
      <c r="M89" s="86">
        <f t="shared" si="55"/>
        <v>0</v>
      </c>
      <c r="N89" s="86">
        <v>462100</v>
      </c>
      <c r="O89" s="86"/>
      <c r="P89" s="86">
        <f t="shared" si="56"/>
        <v>462100</v>
      </c>
      <c r="Q89" s="181">
        <v>49824.65</v>
      </c>
      <c r="R89" s="182">
        <f>500000-Q89</f>
        <v>450175.35</v>
      </c>
      <c r="S89" s="94">
        <f t="shared" si="57"/>
        <v>500000</v>
      </c>
      <c r="T89" s="81">
        <f t="shared" si="50"/>
        <v>9.9649299999999996E-2</v>
      </c>
      <c r="U89" s="142">
        <f t="shared" si="51"/>
        <v>37900</v>
      </c>
      <c r="V89" s="143">
        <f t="shared" si="52"/>
        <v>-37900</v>
      </c>
      <c r="W89" s="83">
        <f t="shared" si="58"/>
        <v>-8.2016879463319634E-2</v>
      </c>
    </row>
    <row r="90" spans="1:23" s="101" customFormat="1" ht="13.35" hidden="1" customHeight="1" outlineLevel="1" x14ac:dyDescent="0.45">
      <c r="A90" s="71" t="s">
        <v>149</v>
      </c>
      <c r="B90" s="71" t="s">
        <v>150</v>
      </c>
      <c r="E90" s="102"/>
      <c r="F90" s="103"/>
      <c r="G90" s="104"/>
      <c r="H90" s="93"/>
      <c r="I90" s="94"/>
      <c r="J90" s="95">
        <f t="shared" si="54"/>
        <v>0</v>
      </c>
      <c r="K90" s="180"/>
      <c r="L90" s="180"/>
      <c r="M90" s="86">
        <f t="shared" si="55"/>
        <v>0</v>
      </c>
      <c r="N90" s="86"/>
      <c r="O90" s="86"/>
      <c r="P90" s="86">
        <f t="shared" si="56"/>
        <v>0</v>
      </c>
      <c r="Q90" s="181"/>
      <c r="R90" s="184"/>
      <c r="S90" s="94">
        <f t="shared" si="57"/>
        <v>0</v>
      </c>
      <c r="T90" s="81" t="str">
        <f t="shared" si="50"/>
        <v>-</v>
      </c>
      <c r="U90" s="142"/>
      <c r="V90" s="143">
        <f t="shared" si="52"/>
        <v>0</v>
      </c>
      <c r="W90" s="83"/>
    </row>
    <row r="91" spans="1:23" s="101" customFormat="1" ht="13.35" hidden="1" customHeight="1" outlineLevel="1" x14ac:dyDescent="0.45">
      <c r="A91" s="71" t="s">
        <v>151</v>
      </c>
      <c r="B91" s="71" t="s">
        <v>152</v>
      </c>
      <c r="E91" s="102"/>
      <c r="F91" s="103"/>
      <c r="G91" s="104"/>
      <c r="H91" s="93"/>
      <c r="I91" s="94"/>
      <c r="J91" s="95">
        <f t="shared" si="54"/>
        <v>0</v>
      </c>
      <c r="K91" s="180"/>
      <c r="L91" s="180"/>
      <c r="M91" s="86">
        <f t="shared" si="55"/>
        <v>0</v>
      </c>
      <c r="N91" s="86"/>
      <c r="O91" s="86"/>
      <c r="P91" s="86">
        <f t="shared" si="56"/>
        <v>0</v>
      </c>
      <c r="Q91" s="181"/>
      <c r="R91" s="184"/>
      <c r="S91" s="94">
        <f t="shared" si="57"/>
        <v>0</v>
      </c>
      <c r="T91" s="81" t="str">
        <f t="shared" si="50"/>
        <v>-</v>
      </c>
      <c r="U91" s="142">
        <f t="shared" ref="U91" si="59">S91-I91</f>
        <v>0</v>
      </c>
      <c r="V91" s="143">
        <f t="shared" si="52"/>
        <v>0</v>
      </c>
      <c r="W91" s="83" t="str">
        <f t="shared" si="58"/>
        <v>-</v>
      </c>
    </row>
    <row r="92" spans="1:23" ht="13.35" hidden="1" customHeight="1" outlineLevel="1" x14ac:dyDescent="0.35">
      <c r="A92" s="39" t="s">
        <v>153</v>
      </c>
      <c r="B92" s="39" t="s">
        <v>154</v>
      </c>
      <c r="E92" s="125"/>
      <c r="F92" s="126"/>
      <c r="G92" s="127"/>
      <c r="H92" s="93">
        <v>2745400</v>
      </c>
      <c r="I92" s="94">
        <v>2745400</v>
      </c>
      <c r="J92" s="95">
        <f t="shared" si="54"/>
        <v>0</v>
      </c>
      <c r="K92" s="158"/>
      <c r="L92" s="158"/>
      <c r="M92" s="86">
        <f t="shared" si="55"/>
        <v>0</v>
      </c>
      <c r="N92" s="86">
        <v>2745400</v>
      </c>
      <c r="O92" s="86"/>
      <c r="P92" s="86">
        <f t="shared" si="56"/>
        <v>2745400</v>
      </c>
      <c r="Q92" s="168">
        <v>201038.43</v>
      </c>
      <c r="R92" s="183">
        <f>2000000-Q92</f>
        <v>1798961.57</v>
      </c>
      <c r="S92" s="98">
        <f t="shared" si="57"/>
        <v>2000000</v>
      </c>
      <c r="T92" s="99">
        <f t="shared" si="50"/>
        <v>0.100519215</v>
      </c>
      <c r="U92" s="142">
        <f t="shared" si="51"/>
        <v>-745400</v>
      </c>
      <c r="V92" s="100">
        <f t="shared" si="52"/>
        <v>745400</v>
      </c>
      <c r="W92" s="147">
        <f t="shared" si="58"/>
        <v>0.27150870547096961</v>
      </c>
    </row>
    <row r="93" spans="1:23" ht="13.35" hidden="1" customHeight="1" outlineLevel="1" x14ac:dyDescent="0.35">
      <c r="A93" s="39" t="s">
        <v>155</v>
      </c>
      <c r="B93" s="39" t="s">
        <v>156</v>
      </c>
      <c r="E93" s="125"/>
      <c r="F93" s="126"/>
      <c r="G93" s="127"/>
      <c r="H93" s="112"/>
      <c r="I93" s="94"/>
      <c r="J93" s="95">
        <f t="shared" si="54"/>
        <v>0</v>
      </c>
      <c r="K93" s="158"/>
      <c r="L93" s="158"/>
      <c r="M93" s="86">
        <f t="shared" si="55"/>
        <v>0</v>
      </c>
      <c r="N93" s="86"/>
      <c r="O93" s="86"/>
      <c r="P93" s="86">
        <f t="shared" si="56"/>
        <v>0</v>
      </c>
      <c r="Q93" s="168"/>
      <c r="R93" s="169"/>
      <c r="S93" s="98">
        <f t="shared" si="57"/>
        <v>0</v>
      </c>
      <c r="T93" s="99" t="str">
        <f t="shared" si="50"/>
        <v>-</v>
      </c>
      <c r="U93" s="142">
        <f t="shared" si="51"/>
        <v>0</v>
      </c>
      <c r="V93" s="100">
        <f t="shared" si="52"/>
        <v>0</v>
      </c>
      <c r="W93" s="147" t="str">
        <f t="shared" si="58"/>
        <v>-</v>
      </c>
    </row>
    <row r="94" spans="1:23" s="101" customFormat="1" ht="13.35" hidden="1" customHeight="1" outlineLevel="1" x14ac:dyDescent="0.45">
      <c r="A94" s="71" t="s">
        <v>157</v>
      </c>
      <c r="B94" s="71" t="s">
        <v>158</v>
      </c>
      <c r="E94" s="102"/>
      <c r="F94" s="103"/>
      <c r="G94" s="104"/>
      <c r="H94" s="93">
        <f>470400+106400+258700</f>
        <v>835500</v>
      </c>
      <c r="I94" s="94">
        <v>835500</v>
      </c>
      <c r="J94" s="95">
        <f t="shared" si="54"/>
        <v>0</v>
      </c>
      <c r="K94" s="180"/>
      <c r="L94" s="180"/>
      <c r="M94" s="86">
        <f t="shared" si="55"/>
        <v>0</v>
      </c>
      <c r="N94" s="86">
        <v>835500</v>
      </c>
      <c r="O94" s="86"/>
      <c r="P94" s="86">
        <f t="shared" si="56"/>
        <v>835500</v>
      </c>
      <c r="Q94" s="181">
        <v>8261.1200000000008</v>
      </c>
      <c r="R94" s="184">
        <f>'[1]Maint Veh'!O31-'[1]Operating Results'!Q94</f>
        <v>699589.1869999998</v>
      </c>
      <c r="S94" s="94">
        <f t="shared" si="57"/>
        <v>707850.3069999998</v>
      </c>
      <c r="T94" s="81">
        <f t="shared" si="50"/>
        <v>1.1670716136314402E-2</v>
      </c>
      <c r="U94" s="142">
        <f t="shared" si="51"/>
        <v>-127649.6930000002</v>
      </c>
      <c r="V94" s="143">
        <f t="shared" si="52"/>
        <v>127649.6930000002</v>
      </c>
      <c r="W94" s="83">
        <f t="shared" si="58"/>
        <v>0.15278239736684646</v>
      </c>
    </row>
    <row r="95" spans="1:23" s="101" customFormat="1" ht="13.35" hidden="1" customHeight="1" outlineLevel="1" x14ac:dyDescent="0.45">
      <c r="A95" s="71" t="s">
        <v>159</v>
      </c>
      <c r="B95" s="71" t="s">
        <v>61</v>
      </c>
      <c r="E95" s="102"/>
      <c r="F95" s="103"/>
      <c r="G95" s="104"/>
      <c r="H95" s="93"/>
      <c r="I95" s="94"/>
      <c r="J95" s="95">
        <f t="shared" si="54"/>
        <v>0</v>
      </c>
      <c r="K95" s="180"/>
      <c r="L95" s="180"/>
      <c r="M95" s="86">
        <f t="shared" si="55"/>
        <v>0</v>
      </c>
      <c r="N95" s="86"/>
      <c r="O95" s="86"/>
      <c r="P95" s="86">
        <f t="shared" si="56"/>
        <v>0</v>
      </c>
      <c r="Q95" s="181"/>
      <c r="R95" s="184"/>
      <c r="S95" s="94">
        <f t="shared" si="57"/>
        <v>0</v>
      </c>
      <c r="T95" s="81" t="str">
        <f t="shared" si="50"/>
        <v>-</v>
      </c>
      <c r="U95" s="142">
        <f t="shared" si="51"/>
        <v>0</v>
      </c>
      <c r="V95" s="143">
        <f t="shared" si="52"/>
        <v>0</v>
      </c>
      <c r="W95" s="83" t="str">
        <f t="shared" si="58"/>
        <v>-</v>
      </c>
    </row>
    <row r="96" spans="1:23" ht="13.35" hidden="1" customHeight="1" outlineLevel="1" x14ac:dyDescent="0.35">
      <c r="A96" s="39" t="s">
        <v>160</v>
      </c>
      <c r="B96" s="39" t="s">
        <v>161</v>
      </c>
      <c r="E96" s="125"/>
      <c r="F96" s="126"/>
      <c r="G96" s="127"/>
      <c r="H96" s="93">
        <v>1327400</v>
      </c>
      <c r="I96" s="94">
        <v>1327400</v>
      </c>
      <c r="J96" s="95">
        <f t="shared" si="54"/>
        <v>0</v>
      </c>
      <c r="K96" s="158"/>
      <c r="L96" s="158"/>
      <c r="M96" s="86">
        <f t="shared" si="55"/>
        <v>0</v>
      </c>
      <c r="N96" s="86">
        <v>1327400</v>
      </c>
      <c r="O96" s="86"/>
      <c r="P96" s="86">
        <f t="shared" si="56"/>
        <v>1327400</v>
      </c>
      <c r="Q96" s="168">
        <v>153159.62</v>
      </c>
      <c r="R96" s="169">
        <f>'[1]Heating Fuel'!AC33-'[1]Operating Results'!Q96</f>
        <v>694415.37687811197</v>
      </c>
      <c r="S96" s="98">
        <f t="shared" si="57"/>
        <v>847574.99687811197</v>
      </c>
      <c r="T96" s="99">
        <f t="shared" si="50"/>
        <v>0.1807033248551875</v>
      </c>
      <c r="U96" s="142">
        <f t="shared" si="51"/>
        <v>-479825.00312188803</v>
      </c>
      <c r="V96" s="100">
        <f t="shared" si="52"/>
        <v>479825.00312188803</v>
      </c>
      <c r="W96" s="147">
        <f t="shared" si="58"/>
        <v>0.36147732644409225</v>
      </c>
    </row>
    <row r="97" spans="1:23" ht="13.35" hidden="1" customHeight="1" outlineLevel="1" x14ac:dyDescent="0.35">
      <c r="A97" s="39" t="s">
        <v>162</v>
      </c>
      <c r="B97" s="39" t="s">
        <v>163</v>
      </c>
      <c r="E97" s="125"/>
      <c r="F97" s="126"/>
      <c r="G97" s="127"/>
      <c r="H97" s="93">
        <v>806300</v>
      </c>
      <c r="I97" s="94">
        <v>806300</v>
      </c>
      <c r="J97" s="95">
        <f t="shared" si="54"/>
        <v>0</v>
      </c>
      <c r="K97" s="158"/>
      <c r="L97" s="158"/>
      <c r="M97" s="86">
        <f t="shared" si="55"/>
        <v>0</v>
      </c>
      <c r="N97" s="86">
        <v>806300</v>
      </c>
      <c r="O97" s="86"/>
      <c r="P97" s="86">
        <f t="shared" si="56"/>
        <v>806300</v>
      </c>
      <c r="Q97" s="168">
        <v>75862.37</v>
      </c>
      <c r="R97" s="169">
        <f>'[1]Natural Gas'!N373-'[1]Operating Results'!Q97</f>
        <v>589525.28084133822</v>
      </c>
      <c r="S97" s="98">
        <f t="shared" si="57"/>
        <v>665387.65084133821</v>
      </c>
      <c r="T97" s="99">
        <f t="shared" si="50"/>
        <v>0.11401229028533533</v>
      </c>
      <c r="U97" s="142">
        <f t="shared" si="51"/>
        <v>-140912.34915866179</v>
      </c>
      <c r="V97" s="100">
        <f t="shared" si="52"/>
        <v>140912.34915866179</v>
      </c>
      <c r="W97" s="147">
        <f t="shared" si="58"/>
        <v>0.17476416862044125</v>
      </c>
    </row>
    <row r="98" spans="1:23" ht="13.35" hidden="1" customHeight="1" outlineLevel="1" x14ac:dyDescent="0.35">
      <c r="A98" s="39" t="s">
        <v>164</v>
      </c>
      <c r="B98" s="39" t="s">
        <v>165</v>
      </c>
      <c r="E98" s="125"/>
      <c r="F98" s="126"/>
      <c r="G98" s="127"/>
      <c r="H98" s="93">
        <v>184800</v>
      </c>
      <c r="I98" s="94">
        <v>184800</v>
      </c>
      <c r="J98" s="95">
        <f t="shared" si="54"/>
        <v>0</v>
      </c>
      <c r="K98" s="158"/>
      <c r="L98" s="158"/>
      <c r="M98" s="86">
        <f t="shared" si="55"/>
        <v>0</v>
      </c>
      <c r="N98" s="86">
        <v>184800</v>
      </c>
      <c r="O98" s="86"/>
      <c r="P98" s="86">
        <f t="shared" si="56"/>
        <v>184800</v>
      </c>
      <c r="Q98" s="168">
        <v>11489.11</v>
      </c>
      <c r="R98" s="183">
        <f>105000-Q98</f>
        <v>93510.89</v>
      </c>
      <c r="S98" s="98">
        <f t="shared" si="57"/>
        <v>105000</v>
      </c>
      <c r="T98" s="99">
        <f t="shared" si="50"/>
        <v>0.10942009523809525</v>
      </c>
      <c r="U98" s="142">
        <f t="shared" si="51"/>
        <v>-79800</v>
      </c>
      <c r="V98" s="100">
        <f t="shared" si="52"/>
        <v>79800</v>
      </c>
      <c r="W98" s="147">
        <f t="shared" si="58"/>
        <v>0.43181818181818182</v>
      </c>
    </row>
    <row r="99" spans="1:23" ht="13.35" hidden="1" customHeight="1" outlineLevel="1" x14ac:dyDescent="0.35">
      <c r="A99" s="39" t="s">
        <v>166</v>
      </c>
      <c r="B99" s="39" t="s">
        <v>167</v>
      </c>
      <c r="E99" s="125"/>
      <c r="F99" s="126"/>
      <c r="G99" s="127"/>
      <c r="H99" s="93"/>
      <c r="I99" s="94"/>
      <c r="J99" s="95">
        <f t="shared" si="54"/>
        <v>0</v>
      </c>
      <c r="K99" s="158"/>
      <c r="L99" s="158"/>
      <c r="M99" s="86">
        <f t="shared" si="55"/>
        <v>0</v>
      </c>
      <c r="N99" s="86"/>
      <c r="O99" s="86"/>
      <c r="P99" s="86">
        <f t="shared" si="56"/>
        <v>0</v>
      </c>
      <c r="Q99" s="168"/>
      <c r="R99" s="169"/>
      <c r="S99" s="98">
        <f t="shared" si="57"/>
        <v>0</v>
      </c>
      <c r="T99" s="99"/>
      <c r="U99" s="142"/>
      <c r="V99" s="100">
        <f t="shared" si="52"/>
        <v>0</v>
      </c>
      <c r="W99" s="147"/>
    </row>
    <row r="100" spans="1:23" ht="13.35" hidden="1" customHeight="1" outlineLevel="1" x14ac:dyDescent="0.35">
      <c r="A100" s="39" t="s">
        <v>168</v>
      </c>
      <c r="B100" s="39" t="s">
        <v>169</v>
      </c>
      <c r="E100" s="125"/>
      <c r="F100" s="126"/>
      <c r="G100" s="127"/>
      <c r="H100" s="93"/>
      <c r="I100" s="94"/>
      <c r="J100" s="95">
        <f t="shared" si="54"/>
        <v>0</v>
      </c>
      <c r="K100" s="158"/>
      <c r="L100" s="158"/>
      <c r="M100" s="86">
        <f t="shared" si="55"/>
        <v>0</v>
      </c>
      <c r="N100" s="86"/>
      <c r="O100" s="86"/>
      <c r="P100" s="86">
        <f t="shared" si="56"/>
        <v>0</v>
      </c>
      <c r="Q100" s="181">
        <v>17402.07</v>
      </c>
      <c r="R100" s="183">
        <f>186000-Q100</f>
        <v>168597.93</v>
      </c>
      <c r="S100" s="98">
        <f t="shared" si="57"/>
        <v>186000</v>
      </c>
      <c r="T100" s="99"/>
      <c r="U100" s="142"/>
      <c r="V100" s="100">
        <f t="shared" si="52"/>
        <v>-186000</v>
      </c>
      <c r="W100" s="147"/>
    </row>
    <row r="101" spans="1:23" ht="13.35" hidden="1" customHeight="1" outlineLevel="1" x14ac:dyDescent="0.4">
      <c r="A101" s="39" t="s">
        <v>170</v>
      </c>
      <c r="B101" s="39" t="s">
        <v>150</v>
      </c>
      <c r="C101" s="1"/>
      <c r="E101" s="125"/>
      <c r="F101" s="126"/>
      <c r="G101" s="127"/>
      <c r="H101" s="112">
        <v>2125500</v>
      </c>
      <c r="I101" s="94">
        <v>2125500</v>
      </c>
      <c r="J101" s="95">
        <f t="shared" si="54"/>
        <v>0</v>
      </c>
      <c r="K101" s="158"/>
      <c r="L101" s="158"/>
      <c r="M101" s="86">
        <f t="shared" si="55"/>
        <v>0</v>
      </c>
      <c r="N101" s="86">
        <v>2125500</v>
      </c>
      <c r="O101" s="86"/>
      <c r="P101" s="86">
        <f t="shared" si="56"/>
        <v>2125500</v>
      </c>
      <c r="Q101" s="168">
        <v>242228.87</v>
      </c>
      <c r="R101" s="183">
        <f>2800000-Q101</f>
        <v>2557771.13</v>
      </c>
      <c r="S101" s="98">
        <f t="shared" si="57"/>
        <v>2800000</v>
      </c>
      <c r="T101" s="99">
        <f t="shared" si="50"/>
        <v>8.6510310714285707E-2</v>
      </c>
      <c r="U101" s="142">
        <f t="shared" si="51"/>
        <v>674500</v>
      </c>
      <c r="V101" s="100">
        <f t="shared" si="52"/>
        <v>-674500</v>
      </c>
      <c r="W101" s="147">
        <f t="shared" si="58"/>
        <v>-0.31733709715361091</v>
      </c>
    </row>
    <row r="102" spans="1:23" ht="13.35" hidden="1" customHeight="1" outlineLevel="1" x14ac:dyDescent="0.4">
      <c r="A102" s="39" t="s">
        <v>171</v>
      </c>
      <c r="B102" s="39" t="s">
        <v>167</v>
      </c>
      <c r="C102" s="1"/>
      <c r="E102" s="125"/>
      <c r="F102" s="126"/>
      <c r="G102" s="127"/>
      <c r="H102" s="112">
        <v>554500</v>
      </c>
      <c r="I102" s="94">
        <v>554500</v>
      </c>
      <c r="J102" s="95">
        <f t="shared" si="54"/>
        <v>0</v>
      </c>
      <c r="K102" s="158"/>
      <c r="L102" s="158"/>
      <c r="M102" s="86">
        <f t="shared" si="55"/>
        <v>0</v>
      </c>
      <c r="N102" s="86">
        <v>554500</v>
      </c>
      <c r="O102" s="86"/>
      <c r="P102" s="86">
        <f t="shared" si="56"/>
        <v>554500</v>
      </c>
      <c r="Q102" s="168">
        <v>172917.63</v>
      </c>
      <c r="R102" s="183">
        <f>910000-Q102</f>
        <v>737082.37</v>
      </c>
      <c r="S102" s="98">
        <f t="shared" si="57"/>
        <v>910000</v>
      </c>
      <c r="T102" s="99">
        <f t="shared" si="50"/>
        <v>0.19001937362637364</v>
      </c>
      <c r="U102" s="142">
        <f t="shared" si="51"/>
        <v>355500</v>
      </c>
      <c r="V102" s="100">
        <f t="shared" si="52"/>
        <v>-355500</v>
      </c>
      <c r="W102" s="147">
        <f t="shared" si="58"/>
        <v>-0.64111812443642924</v>
      </c>
    </row>
    <row r="103" spans="1:23" ht="13.35" hidden="1" customHeight="1" outlineLevel="1" x14ac:dyDescent="0.4">
      <c r="A103" s="39" t="s">
        <v>172</v>
      </c>
      <c r="B103" s="39" t="s">
        <v>173</v>
      </c>
      <c r="C103" s="1"/>
      <c r="E103" s="125"/>
      <c r="F103" s="126"/>
      <c r="G103" s="127"/>
      <c r="H103" s="93"/>
      <c r="I103" s="94"/>
      <c r="J103" s="95">
        <f t="shared" si="54"/>
        <v>0</v>
      </c>
      <c r="K103" s="158"/>
      <c r="L103" s="158"/>
      <c r="M103" s="86">
        <f t="shared" si="55"/>
        <v>0</v>
      </c>
      <c r="N103" s="86"/>
      <c r="O103" s="86"/>
      <c r="P103" s="86">
        <f t="shared" si="56"/>
        <v>0</v>
      </c>
      <c r="Q103" s="168">
        <v>14646.38</v>
      </c>
      <c r="R103" s="169">
        <f>P103-Q103</f>
        <v>-14646.38</v>
      </c>
      <c r="S103" s="98">
        <f t="shared" si="57"/>
        <v>0</v>
      </c>
      <c r="T103" s="99" t="str">
        <f t="shared" si="50"/>
        <v>-</v>
      </c>
      <c r="U103" s="142">
        <f t="shared" si="51"/>
        <v>0</v>
      </c>
      <c r="V103" s="100">
        <f t="shared" si="52"/>
        <v>0</v>
      </c>
      <c r="W103" s="147" t="str">
        <f t="shared" si="58"/>
        <v>-</v>
      </c>
    </row>
    <row r="104" spans="1:23" ht="13.35" customHeight="1" collapsed="1" x14ac:dyDescent="0.4">
      <c r="A104" s="185" t="s">
        <v>174</v>
      </c>
      <c r="B104" s="9"/>
      <c r="E104" s="149">
        <f>E79</f>
        <v>0</v>
      </c>
      <c r="F104" s="115">
        <f>F80</f>
        <v>187.91</v>
      </c>
      <c r="G104" s="116">
        <f>G79</f>
        <v>-187.85</v>
      </c>
      <c r="H104" s="119">
        <f t="shared" ref="H104:S104" si="60">SUM(H79:H103)</f>
        <v>33977300</v>
      </c>
      <c r="I104" s="119">
        <f t="shared" si="60"/>
        <v>33977300</v>
      </c>
      <c r="J104" s="119">
        <f t="shared" si="60"/>
        <v>0</v>
      </c>
      <c r="K104" s="119">
        <f t="shared" si="60"/>
        <v>0</v>
      </c>
      <c r="L104" s="119">
        <f t="shared" si="60"/>
        <v>0</v>
      </c>
      <c r="M104" s="119">
        <f t="shared" si="60"/>
        <v>0</v>
      </c>
      <c r="N104" s="119">
        <f t="shared" si="60"/>
        <v>33977300</v>
      </c>
      <c r="O104" s="120">
        <f t="shared" si="60"/>
        <v>0</v>
      </c>
      <c r="P104" s="119">
        <f t="shared" si="60"/>
        <v>33977300</v>
      </c>
      <c r="Q104" s="121">
        <f t="shared" si="60"/>
        <v>4609615.7499999991</v>
      </c>
      <c r="R104" s="119">
        <f t="shared" si="60"/>
        <v>27791021.204719454</v>
      </c>
      <c r="S104" s="119">
        <f t="shared" si="60"/>
        <v>32400636.95471945</v>
      </c>
      <c r="T104" s="122">
        <f>IF(ISERR(Q104/S104),"-",Q104/S104)</f>
        <v>0.14226929416363113</v>
      </c>
      <c r="U104" s="151">
        <f>SUM(U79:U103)</f>
        <v>-1762663.0452805501</v>
      </c>
      <c r="V104" s="123">
        <f>SUM(V79:V103)</f>
        <v>1576663.0452805501</v>
      </c>
      <c r="W104" s="124">
        <f t="shared" si="58"/>
        <v>4.6403423617549074E-2</v>
      </c>
    </row>
    <row r="105" spans="1:23" ht="13.35" customHeight="1" x14ac:dyDescent="0.4">
      <c r="A105" s="9"/>
      <c r="B105" s="9"/>
      <c r="E105" s="125"/>
      <c r="F105" s="126"/>
      <c r="G105" s="127"/>
      <c r="H105" s="125"/>
      <c r="Q105" s="64"/>
      <c r="U105" s="68"/>
      <c r="V105" s="138"/>
      <c r="W105" s="139"/>
    </row>
    <row r="106" spans="1:23" ht="13.35" customHeight="1" x14ac:dyDescent="0.4">
      <c r="A106" s="9"/>
      <c r="B106" s="9"/>
      <c r="E106" s="125"/>
      <c r="F106" s="126"/>
      <c r="G106" s="127"/>
      <c r="H106" s="186"/>
      <c r="Q106" s="64"/>
      <c r="U106" s="68"/>
      <c r="V106" s="138"/>
      <c r="W106" s="187"/>
    </row>
    <row r="107" spans="1:23" ht="13.35" hidden="1" customHeight="1" outlineLevel="1" x14ac:dyDescent="0.4">
      <c r="A107" s="70" t="s">
        <v>175</v>
      </c>
      <c r="B107" s="9"/>
      <c r="E107" s="125"/>
      <c r="F107" s="126"/>
      <c r="G107" s="127"/>
      <c r="H107" s="125"/>
      <c r="Q107" s="64"/>
      <c r="U107" s="68"/>
      <c r="V107" s="138"/>
      <c r="W107" s="139"/>
    </row>
    <row r="108" spans="1:23" ht="13.35" hidden="1" customHeight="1" outlineLevel="1" x14ac:dyDescent="0.35">
      <c r="A108" s="39" t="s">
        <v>176</v>
      </c>
      <c r="B108" s="39" t="s">
        <v>177</v>
      </c>
      <c r="D108" s="72" t="s">
        <v>41</v>
      </c>
      <c r="E108" s="73"/>
      <c r="F108" s="126">
        <v>257</v>
      </c>
      <c r="G108" s="75">
        <f t="shared" ref="G108:G109" si="61">E108-F108</f>
        <v>-257</v>
      </c>
      <c r="H108" s="155">
        <f>8911800+63400</f>
        <v>8975200</v>
      </c>
      <c r="I108" s="77">
        <v>8975200</v>
      </c>
      <c r="J108" s="85">
        <f>I108-H108</f>
        <v>0</v>
      </c>
      <c r="K108" s="157"/>
      <c r="L108" s="157"/>
      <c r="M108" s="77">
        <f>K108+L108</f>
        <v>0</v>
      </c>
      <c r="N108" s="77">
        <v>8975200</v>
      </c>
      <c r="O108" s="77"/>
      <c r="P108" s="77">
        <f>M108+N108+O108</f>
        <v>8975200</v>
      </c>
      <c r="Q108" s="129">
        <f>2042372.28+10053.82</f>
        <v>2052426.1</v>
      </c>
      <c r="R108" s="189">
        <f>8500000-Q108</f>
        <v>6447573.9000000004</v>
      </c>
      <c r="S108" s="161">
        <f>SUM(Q108:R108)</f>
        <v>8500000</v>
      </c>
      <c r="T108" s="99">
        <f t="shared" ref="T108:T116" si="62">IF(ISERR(Q108/S108),"-",Q108/S108)</f>
        <v>0.24146189411764707</v>
      </c>
      <c r="U108" s="142">
        <f t="shared" ref="U108:U115" si="63">S108-I108</f>
        <v>-475200</v>
      </c>
      <c r="V108" s="178">
        <f t="shared" ref="V108:V115" si="64">P108-S108</f>
        <v>475200</v>
      </c>
      <c r="W108" s="147">
        <f>IF(ISERR(V108/P108),"-",V108/P108)</f>
        <v>5.2945895356092343E-2</v>
      </c>
    </row>
    <row r="109" spans="1:23" ht="13.35" hidden="1" customHeight="1" outlineLevel="1" x14ac:dyDescent="0.35">
      <c r="A109" s="39"/>
      <c r="B109" s="39"/>
      <c r="D109" s="72" t="s">
        <v>42</v>
      </c>
      <c r="E109" s="73"/>
      <c r="F109" s="126">
        <f>F108</f>
        <v>257</v>
      </c>
      <c r="G109" s="75">
        <f t="shared" si="61"/>
        <v>-257</v>
      </c>
      <c r="H109" s="155"/>
      <c r="I109" s="77"/>
      <c r="J109" s="85"/>
      <c r="K109" s="157"/>
      <c r="L109" s="157"/>
      <c r="M109" s="77"/>
      <c r="N109" s="77"/>
      <c r="O109" s="77"/>
      <c r="P109" s="86"/>
      <c r="Q109" s="129"/>
      <c r="R109" s="128"/>
      <c r="S109" s="161"/>
      <c r="T109" s="99"/>
      <c r="U109" s="142"/>
      <c r="V109" s="178"/>
      <c r="W109" s="147"/>
    </row>
    <row r="110" spans="1:23" ht="13.35" hidden="1" customHeight="1" outlineLevel="1" x14ac:dyDescent="0.35">
      <c r="A110" s="39" t="s">
        <v>178</v>
      </c>
      <c r="B110" s="71" t="s">
        <v>132</v>
      </c>
      <c r="D110" s="72"/>
      <c r="E110" s="125"/>
      <c r="F110" s="126"/>
      <c r="G110" s="148"/>
      <c r="H110" s="93"/>
      <c r="I110" s="94"/>
      <c r="J110" s="95">
        <f>I110-H110</f>
        <v>0</v>
      </c>
      <c r="K110" s="157"/>
      <c r="L110" s="157"/>
      <c r="M110" s="86">
        <f>K110+L110</f>
        <v>0</v>
      </c>
      <c r="N110" s="86"/>
      <c r="O110" s="86"/>
      <c r="P110" s="86">
        <f>M110+N110+O110</f>
        <v>0</v>
      </c>
      <c r="Q110" s="129">
        <v>61809.66</v>
      </c>
      <c r="R110" s="189">
        <f>470000-Q110</f>
        <v>408190.33999999997</v>
      </c>
      <c r="S110" s="98">
        <f>SUM(Q110:R110)</f>
        <v>470000</v>
      </c>
      <c r="T110" s="99">
        <f t="shared" si="62"/>
        <v>0.13150991489361702</v>
      </c>
      <c r="U110" s="142">
        <f t="shared" si="63"/>
        <v>470000</v>
      </c>
      <c r="V110" s="143">
        <f t="shared" si="64"/>
        <v>-470000</v>
      </c>
      <c r="W110" s="190" t="str">
        <f t="shared" ref="W110:W116" si="65">IF(ISERR(V110/P110),"-",V110/P110)</f>
        <v>-</v>
      </c>
    </row>
    <row r="111" spans="1:23" ht="13.35" hidden="1" customHeight="1" outlineLevel="1" x14ac:dyDescent="0.35">
      <c r="A111" s="71" t="s">
        <v>179</v>
      </c>
      <c r="B111" s="71" t="s">
        <v>136</v>
      </c>
      <c r="D111" s="72"/>
      <c r="E111" s="125"/>
      <c r="F111" s="126"/>
      <c r="G111" s="148"/>
      <c r="H111" s="93"/>
      <c r="I111" s="94"/>
      <c r="J111" s="95">
        <f t="shared" ref="J111:J115" si="66">I111-H111</f>
        <v>0</v>
      </c>
      <c r="K111" s="157"/>
      <c r="L111" s="158"/>
      <c r="M111" s="86">
        <f t="shared" ref="M111:M115" si="67">K111+L111</f>
        <v>0</v>
      </c>
      <c r="N111" s="86"/>
      <c r="O111" s="86"/>
      <c r="P111" s="86">
        <f t="shared" ref="P111:P115" si="68">M111+N111+O111</f>
        <v>0</v>
      </c>
      <c r="Q111" s="129">
        <v>57948.47</v>
      </c>
      <c r="R111" s="189">
        <f>270000-Q111</f>
        <v>212051.53</v>
      </c>
      <c r="S111" s="98">
        <f t="shared" ref="S111:S115" si="69">SUM(Q111:R111)</f>
        <v>270000</v>
      </c>
      <c r="T111" s="99">
        <f t="shared" si="62"/>
        <v>0.21462396296296296</v>
      </c>
      <c r="U111" s="142">
        <f t="shared" si="63"/>
        <v>270000</v>
      </c>
      <c r="V111" s="143">
        <f t="shared" si="64"/>
        <v>-270000</v>
      </c>
      <c r="W111" s="190" t="str">
        <f t="shared" si="65"/>
        <v>-</v>
      </c>
    </row>
    <row r="112" spans="1:23" ht="13.35" hidden="1" customHeight="1" outlineLevel="1" x14ac:dyDescent="0.35">
      <c r="A112" s="39" t="s">
        <v>180</v>
      </c>
      <c r="B112" s="39" t="s">
        <v>181</v>
      </c>
      <c r="E112" s="125"/>
      <c r="F112" s="126"/>
      <c r="G112" s="127"/>
      <c r="H112" s="112">
        <v>496100</v>
      </c>
      <c r="I112" s="94">
        <v>496100</v>
      </c>
      <c r="J112" s="95">
        <f t="shared" si="66"/>
        <v>0</v>
      </c>
      <c r="K112" s="158"/>
      <c r="L112" s="158"/>
      <c r="M112" s="86">
        <f t="shared" si="67"/>
        <v>0</v>
      </c>
      <c r="N112" s="86">
        <v>496100</v>
      </c>
      <c r="O112" s="86"/>
      <c r="P112" s="86">
        <f t="shared" si="68"/>
        <v>496100</v>
      </c>
      <c r="Q112" s="168">
        <v>234031.33</v>
      </c>
      <c r="R112" s="183">
        <f>1100000-Q112</f>
        <v>865968.67</v>
      </c>
      <c r="S112" s="98">
        <f t="shared" si="69"/>
        <v>1100000</v>
      </c>
      <c r="T112" s="99">
        <f t="shared" si="62"/>
        <v>0.21275575454545453</v>
      </c>
      <c r="U112" s="142">
        <f t="shared" si="63"/>
        <v>603900</v>
      </c>
      <c r="V112" s="143">
        <f t="shared" si="64"/>
        <v>-603900</v>
      </c>
      <c r="W112" s="190">
        <f t="shared" si="65"/>
        <v>-1.2172949002217295</v>
      </c>
    </row>
    <row r="113" spans="1:23" ht="13.35" hidden="1" customHeight="1" outlineLevel="1" x14ac:dyDescent="0.35">
      <c r="A113" s="39" t="s">
        <v>182</v>
      </c>
      <c r="B113" s="39" t="s">
        <v>183</v>
      </c>
      <c r="E113" s="125"/>
      <c r="F113" s="126"/>
      <c r="G113" s="127"/>
      <c r="H113" s="112">
        <v>79300</v>
      </c>
      <c r="I113" s="94">
        <v>79300</v>
      </c>
      <c r="J113" s="95">
        <f t="shared" si="66"/>
        <v>0</v>
      </c>
      <c r="K113" s="158"/>
      <c r="L113" s="158"/>
      <c r="M113" s="86">
        <f t="shared" si="67"/>
        <v>0</v>
      </c>
      <c r="N113" s="86">
        <v>79300</v>
      </c>
      <c r="O113" s="86"/>
      <c r="P113" s="86">
        <f t="shared" si="68"/>
        <v>79300</v>
      </c>
      <c r="Q113" s="168">
        <v>9504.06</v>
      </c>
      <c r="R113" s="169">
        <f>83000-Q113</f>
        <v>73495.94</v>
      </c>
      <c r="S113" s="98">
        <f t="shared" si="69"/>
        <v>83000</v>
      </c>
      <c r="T113" s="99">
        <f t="shared" si="62"/>
        <v>0.1145067469879518</v>
      </c>
      <c r="U113" s="142">
        <f t="shared" si="63"/>
        <v>3700</v>
      </c>
      <c r="V113" s="143">
        <f t="shared" si="64"/>
        <v>-3700</v>
      </c>
      <c r="W113" s="190">
        <f t="shared" si="65"/>
        <v>-4.6658259773013869E-2</v>
      </c>
    </row>
    <row r="114" spans="1:23" s="71" customFormat="1" ht="13.35" hidden="1" customHeight="1" outlineLevel="1" x14ac:dyDescent="0.35">
      <c r="A114" s="71" t="s">
        <v>184</v>
      </c>
      <c r="B114" s="71" t="s">
        <v>185</v>
      </c>
      <c r="E114" s="191"/>
      <c r="F114" s="192"/>
      <c r="G114" s="193"/>
      <c r="H114" s="93">
        <f>1473800+2117300+3286300</f>
        <v>6877400</v>
      </c>
      <c r="I114" s="94">
        <v>6877400</v>
      </c>
      <c r="J114" s="95">
        <f t="shared" si="66"/>
        <v>0</v>
      </c>
      <c r="K114" s="194"/>
      <c r="L114" s="194"/>
      <c r="M114" s="86">
        <f t="shared" si="67"/>
        <v>0</v>
      </c>
      <c r="N114" s="86">
        <v>6877400</v>
      </c>
      <c r="O114" s="86"/>
      <c r="P114" s="86">
        <f t="shared" si="68"/>
        <v>6877400</v>
      </c>
      <c r="Q114" s="195">
        <v>-954.76</v>
      </c>
      <c r="R114" s="196">
        <f>'[1]Bus Ops'!O39-Q114</f>
        <v>7182155.0499999998</v>
      </c>
      <c r="S114" s="98">
        <f t="shared" si="69"/>
        <v>7181200.29</v>
      </c>
      <c r="T114" s="99">
        <f t="shared" si="62"/>
        <v>-1.3295270448444768E-4</v>
      </c>
      <c r="U114" s="142">
        <f t="shared" si="63"/>
        <v>303800.29000000004</v>
      </c>
      <c r="V114" s="143">
        <f t="shared" si="64"/>
        <v>-303800.29000000004</v>
      </c>
      <c r="W114" s="190">
        <f t="shared" si="65"/>
        <v>-4.4173712449472192E-2</v>
      </c>
    </row>
    <row r="115" spans="1:23" s="71" customFormat="1" ht="13.35" hidden="1" customHeight="1" outlineLevel="1" x14ac:dyDescent="0.35">
      <c r="A115" s="71" t="s">
        <v>186</v>
      </c>
      <c r="B115" s="71" t="s">
        <v>61</v>
      </c>
      <c r="E115" s="191"/>
      <c r="F115" s="192"/>
      <c r="G115" s="193"/>
      <c r="H115" s="93"/>
      <c r="I115" s="94"/>
      <c r="J115" s="95">
        <f t="shared" si="66"/>
        <v>0</v>
      </c>
      <c r="K115" s="194"/>
      <c r="L115" s="194"/>
      <c r="M115" s="86">
        <f t="shared" si="67"/>
        <v>0</v>
      </c>
      <c r="N115" s="86"/>
      <c r="O115" s="86"/>
      <c r="P115" s="86">
        <f t="shared" si="68"/>
        <v>0</v>
      </c>
      <c r="Q115" s="195">
        <v>27817.82</v>
      </c>
      <c r="R115" s="196">
        <f>290000-Q115</f>
        <v>262182.18</v>
      </c>
      <c r="S115" s="98">
        <f t="shared" si="69"/>
        <v>290000</v>
      </c>
      <c r="T115" s="99">
        <f t="shared" si="62"/>
        <v>9.5923517241379305E-2</v>
      </c>
      <c r="U115" s="142">
        <f t="shared" si="63"/>
        <v>290000</v>
      </c>
      <c r="V115" s="143">
        <f t="shared" si="64"/>
        <v>-290000</v>
      </c>
      <c r="W115" s="190" t="str">
        <f t="shared" si="65"/>
        <v>-</v>
      </c>
    </row>
    <row r="116" spans="1:23" ht="13.35" customHeight="1" collapsed="1" x14ac:dyDescent="0.4">
      <c r="A116" s="1" t="s">
        <v>187</v>
      </c>
      <c r="B116" s="9"/>
      <c r="E116" s="149">
        <f>E109</f>
        <v>0</v>
      </c>
      <c r="F116" s="115">
        <f>F109</f>
        <v>257</v>
      </c>
      <c r="G116" s="116">
        <f>G109</f>
        <v>-257</v>
      </c>
      <c r="H116" s="119">
        <f t="shared" ref="H116:S116" si="70">SUM(H108:H115)</f>
        <v>16428000</v>
      </c>
      <c r="I116" s="119">
        <f t="shared" si="70"/>
        <v>16428000</v>
      </c>
      <c r="J116" s="150">
        <f t="shared" si="70"/>
        <v>0</v>
      </c>
      <c r="K116" s="119">
        <f t="shared" si="70"/>
        <v>0</v>
      </c>
      <c r="L116" s="119">
        <f t="shared" si="70"/>
        <v>0</v>
      </c>
      <c r="M116" s="119">
        <f t="shared" si="70"/>
        <v>0</v>
      </c>
      <c r="N116" s="119">
        <f t="shared" si="70"/>
        <v>16428000</v>
      </c>
      <c r="O116" s="120">
        <f t="shared" si="70"/>
        <v>0</v>
      </c>
      <c r="P116" s="119">
        <f t="shared" si="70"/>
        <v>16428000</v>
      </c>
      <c r="Q116" s="121">
        <f t="shared" si="70"/>
        <v>2442582.6800000006</v>
      </c>
      <c r="R116" s="119">
        <f t="shared" si="70"/>
        <v>15451617.609999999</v>
      </c>
      <c r="S116" s="119">
        <f t="shared" si="70"/>
        <v>17894200.289999999</v>
      </c>
      <c r="T116" s="122">
        <f t="shared" si="62"/>
        <v>0.13650136024044698</v>
      </c>
      <c r="U116" s="151">
        <f>SUM(U108:U115)</f>
        <v>1466200.29</v>
      </c>
      <c r="V116" s="123">
        <f>SUM(V108:V115)</f>
        <v>-1466200.29</v>
      </c>
      <c r="W116" s="124">
        <f t="shared" si="65"/>
        <v>-8.9250078524470422E-2</v>
      </c>
    </row>
    <row r="117" spans="1:23" ht="13.35" customHeight="1" x14ac:dyDescent="0.4">
      <c r="A117" s="9"/>
      <c r="B117" s="9"/>
      <c r="E117" s="125"/>
      <c r="F117" s="126"/>
      <c r="G117" s="127"/>
      <c r="H117" s="125"/>
      <c r="Q117" s="64"/>
      <c r="U117" s="68"/>
      <c r="V117" s="138"/>
      <c r="W117" s="139"/>
    </row>
    <row r="118" spans="1:23" ht="13.35" customHeight="1" x14ac:dyDescent="0.4">
      <c r="A118" s="9"/>
      <c r="B118" s="9"/>
      <c r="E118" s="125"/>
      <c r="F118" s="126"/>
      <c r="G118" s="127"/>
      <c r="H118" s="125"/>
      <c r="I118" s="135"/>
      <c r="J118" s="135"/>
      <c r="K118" s="135"/>
      <c r="L118" s="135"/>
      <c r="M118" s="135"/>
      <c r="N118" s="135"/>
      <c r="O118" s="135"/>
      <c r="P118" s="135"/>
      <c r="Q118" s="136"/>
      <c r="R118" s="135"/>
      <c r="S118" s="135"/>
      <c r="T118" s="135"/>
      <c r="U118" s="137"/>
      <c r="V118" s="138"/>
      <c r="W118" s="139"/>
    </row>
    <row r="119" spans="1:23" ht="13.35" hidden="1" customHeight="1" outlineLevel="1" x14ac:dyDescent="0.4">
      <c r="A119" s="197" t="s">
        <v>188</v>
      </c>
      <c r="B119" s="9"/>
      <c r="E119" s="125"/>
      <c r="F119" s="126"/>
      <c r="G119" s="127"/>
      <c r="H119" s="125"/>
      <c r="Q119" s="64"/>
      <c r="U119" s="68"/>
      <c r="V119" s="138"/>
      <c r="W119" s="139"/>
    </row>
    <row r="120" spans="1:23" ht="13.35" hidden="1" customHeight="1" outlineLevel="1" x14ac:dyDescent="0.4">
      <c r="A120" s="9"/>
      <c r="B120" s="9"/>
      <c r="E120" s="125"/>
      <c r="F120" s="126"/>
      <c r="G120" s="127"/>
      <c r="H120" s="125"/>
      <c r="Q120" s="64"/>
      <c r="U120" s="68"/>
      <c r="V120" s="138"/>
      <c r="W120" s="139"/>
    </row>
    <row r="121" spans="1:23" ht="13.35" hidden="1" customHeight="1" outlineLevel="1" x14ac:dyDescent="0.4">
      <c r="A121" s="70" t="s">
        <v>189</v>
      </c>
      <c r="B121" s="9"/>
      <c r="E121" s="125"/>
      <c r="F121" s="126"/>
      <c r="G121" s="127"/>
      <c r="H121" s="125"/>
      <c r="Q121" s="64"/>
      <c r="U121" s="68"/>
      <c r="V121" s="138"/>
      <c r="W121" s="139"/>
    </row>
    <row r="122" spans="1:23" ht="13.35" hidden="1" customHeight="1" outlineLevel="1" x14ac:dyDescent="0.35">
      <c r="A122" s="39" t="s">
        <v>190</v>
      </c>
      <c r="B122" s="39" t="s">
        <v>191</v>
      </c>
      <c r="E122" s="125"/>
      <c r="F122" s="126"/>
      <c r="G122" s="75"/>
      <c r="H122" s="155">
        <v>60000</v>
      </c>
      <c r="I122" s="77">
        <v>60000</v>
      </c>
      <c r="J122" s="85">
        <f>I122-H122</f>
        <v>0</v>
      </c>
      <c r="K122" s="157"/>
      <c r="L122" s="157"/>
      <c r="M122" s="77">
        <f>K122+L122</f>
        <v>0</v>
      </c>
      <c r="N122" s="77">
        <v>60000</v>
      </c>
      <c r="O122" s="77"/>
      <c r="P122" s="77">
        <f>M122+N122+O122</f>
        <v>60000</v>
      </c>
      <c r="Q122" s="129">
        <v>8485.74</v>
      </c>
      <c r="R122" s="128">
        <f>P122-Q122</f>
        <v>51514.26</v>
      </c>
      <c r="S122" s="161">
        <f>SUM(Q122:R122)</f>
        <v>60000</v>
      </c>
      <c r="T122" s="99">
        <f>IF(ISERR(Q122/S122),"-",Q122/S122)</f>
        <v>0.141429</v>
      </c>
      <c r="U122" s="142">
        <f>S122-I122</f>
        <v>0</v>
      </c>
      <c r="V122" s="131">
        <f t="shared" ref="V122:V123" si="71">P122-S122</f>
        <v>0</v>
      </c>
      <c r="W122" s="147">
        <f>IF(ISERR(V122/P122),"-",V122/P122)</f>
        <v>0</v>
      </c>
    </row>
    <row r="123" spans="1:23" ht="13.35" hidden="1" customHeight="1" outlineLevel="1" x14ac:dyDescent="0.35">
      <c r="A123" s="39" t="s">
        <v>192</v>
      </c>
      <c r="B123" s="39" t="s">
        <v>193</v>
      </c>
      <c r="E123" s="125"/>
      <c r="F123" s="126"/>
      <c r="G123" s="127"/>
      <c r="H123" s="112"/>
      <c r="I123" s="94">
        <f>50000+71000</f>
        <v>121000</v>
      </c>
      <c r="J123" s="95">
        <f>I123-H123</f>
        <v>121000</v>
      </c>
      <c r="K123" s="158"/>
      <c r="L123" s="158"/>
      <c r="M123" s="86">
        <f>K123+L123</f>
        <v>0</v>
      </c>
      <c r="N123" s="86"/>
      <c r="O123" s="86">
        <f>50000+71000</f>
        <v>121000</v>
      </c>
      <c r="P123" s="86">
        <f>M123+N123+O123</f>
        <v>121000</v>
      </c>
      <c r="Q123" s="168">
        <v>3312.15</v>
      </c>
      <c r="R123" s="169">
        <f>P123-Q123</f>
        <v>117687.85</v>
      </c>
      <c r="S123" s="98">
        <f>SUM(Q123:R123)</f>
        <v>121000</v>
      </c>
      <c r="T123" s="99">
        <f>IF(ISERR(Q123/S123),"-",Q123/S123)</f>
        <v>2.7373140495867768E-2</v>
      </c>
      <c r="U123" s="142">
        <f>S123-I123</f>
        <v>0</v>
      </c>
      <c r="V123" s="100">
        <f t="shared" si="71"/>
        <v>0</v>
      </c>
      <c r="W123" s="147">
        <f>IF(ISERR(V123/P123),"-",V123/P123)</f>
        <v>0</v>
      </c>
    </row>
    <row r="124" spans="1:23" ht="13.35" hidden="1" customHeight="1" outlineLevel="1" x14ac:dyDescent="0.4">
      <c r="A124" s="1" t="s">
        <v>194</v>
      </c>
      <c r="B124" s="9"/>
      <c r="E124" s="149">
        <f>SUM(E122:E123)</f>
        <v>0</v>
      </c>
      <c r="F124" s="115">
        <f>SUM(F122:F123)</f>
        <v>0</v>
      </c>
      <c r="G124" s="116">
        <f>SUM(G122:G123)</f>
        <v>0</v>
      </c>
      <c r="H124" s="119">
        <f>SUM(H122:H123)</f>
        <v>60000</v>
      </c>
      <c r="I124" s="119">
        <f>SUM(I122:I123)</f>
        <v>181000</v>
      </c>
      <c r="J124" s="150">
        <f t="shared" ref="J124:P124" si="72">SUM(J122:J123)</f>
        <v>121000</v>
      </c>
      <c r="K124" s="119">
        <f t="shared" si="72"/>
        <v>0</v>
      </c>
      <c r="L124" s="119">
        <f t="shared" si="72"/>
        <v>0</v>
      </c>
      <c r="M124" s="119">
        <f t="shared" si="72"/>
        <v>0</v>
      </c>
      <c r="N124" s="119">
        <f t="shared" si="72"/>
        <v>60000</v>
      </c>
      <c r="O124" s="167">
        <f t="shared" si="72"/>
        <v>121000</v>
      </c>
      <c r="P124" s="119">
        <f t="shared" si="72"/>
        <v>181000</v>
      </c>
      <c r="Q124" s="121">
        <f>SUM(Q122:Q123)</f>
        <v>11797.89</v>
      </c>
      <c r="R124" s="119">
        <f>SUM(R122:R123)</f>
        <v>169202.11000000002</v>
      </c>
      <c r="S124" s="119">
        <f>SUM(S122:S123)</f>
        <v>181000</v>
      </c>
      <c r="T124" s="122">
        <f>IF(ISERR(Q124/S124),"-",Q124/S124)</f>
        <v>6.5181712707182315E-2</v>
      </c>
      <c r="U124" s="151">
        <f>SUM(U122:U123)</f>
        <v>0</v>
      </c>
      <c r="V124" s="123">
        <f>SUM(V122:V123)</f>
        <v>0</v>
      </c>
      <c r="W124" s="124">
        <f>IF(ISERR(V124/P124),"-",V124/P124)</f>
        <v>0</v>
      </c>
    </row>
    <row r="125" spans="1:23" ht="13.35" hidden="1" customHeight="1" outlineLevel="1" x14ac:dyDescent="0.4">
      <c r="A125" s="9"/>
      <c r="B125" s="9"/>
      <c r="E125" s="125"/>
      <c r="F125" s="126"/>
      <c r="G125" s="127"/>
      <c r="H125" s="125"/>
      <c r="Q125" s="64"/>
      <c r="U125" s="68"/>
      <c r="V125" s="138"/>
      <c r="W125" s="139"/>
    </row>
    <row r="126" spans="1:23" ht="13.35" hidden="1" customHeight="1" outlineLevel="1" x14ac:dyDescent="0.4">
      <c r="A126" s="70" t="s">
        <v>195</v>
      </c>
      <c r="B126" s="9"/>
      <c r="E126" s="125"/>
      <c r="F126" s="126"/>
      <c r="G126" s="127"/>
      <c r="H126" s="125"/>
      <c r="Q126" s="64"/>
      <c r="U126" s="68"/>
      <c r="V126" s="138"/>
      <c r="W126" s="139"/>
    </row>
    <row r="127" spans="1:23" ht="13.35" hidden="1" customHeight="1" outlineLevel="1" x14ac:dyDescent="0.35">
      <c r="A127" s="39" t="s">
        <v>196</v>
      </c>
      <c r="B127" s="39" t="s">
        <v>197</v>
      </c>
      <c r="D127" s="72" t="s">
        <v>41</v>
      </c>
      <c r="E127" s="73"/>
      <c r="F127" s="126">
        <f>104-1-3-21+1+1+1</f>
        <v>82</v>
      </c>
      <c r="G127" s="75">
        <f t="shared" ref="G127" si="73">E127-F127</f>
        <v>-82</v>
      </c>
      <c r="H127" s="155">
        <f>4387100+4993600</f>
        <v>9380700</v>
      </c>
      <c r="I127" s="77">
        <v>9380700</v>
      </c>
      <c r="J127" s="85">
        <f>I127-H127</f>
        <v>0</v>
      </c>
      <c r="K127" s="157"/>
      <c r="L127" s="157"/>
      <c r="M127" s="77">
        <f>K127+L127</f>
        <v>0</v>
      </c>
      <c r="N127" s="77">
        <v>9380700</v>
      </c>
      <c r="O127" s="77"/>
      <c r="P127" s="77">
        <f>M127+N127+O127</f>
        <v>9380700</v>
      </c>
      <c r="Q127" s="129">
        <f>1624839.92+200.3</f>
        <v>1625040.22</v>
      </c>
      <c r="R127" s="189">
        <f>8500000-Q127+680000</f>
        <v>7554959.7800000003</v>
      </c>
      <c r="S127" s="198">
        <f>SUM(Q127:R127)</f>
        <v>9180000</v>
      </c>
      <c r="T127" s="99">
        <f>IF(ISERR(Q127/S127),"-",Q127/S127)</f>
        <v>0.17701963180827887</v>
      </c>
      <c r="U127" s="142">
        <f>S127-I127</f>
        <v>-200700</v>
      </c>
      <c r="V127" s="131">
        <f t="shared" ref="V127:V131" si="74">P127-S127</f>
        <v>200700</v>
      </c>
      <c r="W127" s="147">
        <f>IF(ISERR(V127/P127),"-",V127/P127)</f>
        <v>2.1394991844958265E-2</v>
      </c>
    </row>
    <row r="128" spans="1:23" ht="13.35" hidden="1" customHeight="1" outlineLevel="1" x14ac:dyDescent="0.35">
      <c r="A128" s="39"/>
      <c r="B128" s="39"/>
      <c r="D128" s="72" t="s">
        <v>42</v>
      </c>
      <c r="E128" s="73"/>
      <c r="F128" s="126">
        <f>F127-1</f>
        <v>81</v>
      </c>
      <c r="G128" s="75"/>
      <c r="H128" s="155"/>
      <c r="I128" s="77"/>
      <c r="J128" s="85"/>
      <c r="K128" s="157"/>
      <c r="L128" s="157"/>
      <c r="M128" s="77"/>
      <c r="N128" s="77"/>
      <c r="O128" s="77"/>
      <c r="P128" s="77"/>
      <c r="Q128" s="129"/>
      <c r="R128" s="128"/>
      <c r="S128" s="98"/>
      <c r="T128" s="99"/>
      <c r="U128" s="142"/>
      <c r="V128" s="131"/>
      <c r="W128" s="147"/>
    </row>
    <row r="129" spans="1:23" ht="15" hidden="1" customHeight="1" outlineLevel="1" x14ac:dyDescent="0.35">
      <c r="A129" s="39" t="s">
        <v>198</v>
      </c>
      <c r="B129" s="39" t="s">
        <v>136</v>
      </c>
      <c r="D129" s="199"/>
      <c r="E129" s="145"/>
      <c r="G129" s="75"/>
      <c r="H129" s="112"/>
      <c r="I129" s="94"/>
      <c r="J129" s="95">
        <f>I129-H129</f>
        <v>0</v>
      </c>
      <c r="K129" s="158"/>
      <c r="L129" s="158"/>
      <c r="M129" s="86">
        <f>K129+L129</f>
        <v>0</v>
      </c>
      <c r="N129" s="86"/>
      <c r="O129" s="86"/>
      <c r="P129" s="86">
        <f>M129+N129+O129</f>
        <v>0</v>
      </c>
      <c r="Q129" s="168">
        <f>15370.76+19273.49</f>
        <v>34644.25</v>
      </c>
      <c r="R129" s="183">
        <f>270000-Q129</f>
        <v>235355.75</v>
      </c>
      <c r="S129" s="98">
        <f t="shared" ref="S129:S131" si="75">SUM(Q129:R129)</f>
        <v>270000</v>
      </c>
      <c r="T129" s="99">
        <f>IF(ISERR(Q129/S129),"-",Q129/S129)</f>
        <v>0.12831203703703703</v>
      </c>
      <c r="U129" s="142">
        <f>S129-I129</f>
        <v>270000</v>
      </c>
      <c r="V129" s="100">
        <f t="shared" si="74"/>
        <v>-270000</v>
      </c>
      <c r="W129" s="147" t="str">
        <f>IF(ISERR(V129/P129),"-",V129/P129)</f>
        <v>-</v>
      </c>
    </row>
    <row r="130" spans="1:23" ht="13.35" hidden="1" customHeight="1" outlineLevel="1" x14ac:dyDescent="0.35">
      <c r="A130" s="39" t="s">
        <v>199</v>
      </c>
      <c r="B130" s="39" t="s">
        <v>61</v>
      </c>
      <c r="D130" s="200"/>
      <c r="E130" s="125"/>
      <c r="F130" s="126"/>
      <c r="G130" s="127"/>
      <c r="H130" s="112">
        <f>2704400+134248+48300+95123+625600</f>
        <v>3607671</v>
      </c>
      <c r="I130" s="94">
        <f>3607671-1011340-200000-50000-71000-95000-75000</f>
        <v>2105331</v>
      </c>
      <c r="J130" s="95">
        <f>I130-H130</f>
        <v>-1502340</v>
      </c>
      <c r="K130" s="158"/>
      <c r="L130" s="158"/>
      <c r="M130" s="86">
        <f>K130+L130</f>
        <v>0</v>
      </c>
      <c r="N130" s="86">
        <v>3607671</v>
      </c>
      <c r="O130" s="86">
        <v>-1502340</v>
      </c>
      <c r="P130" s="86">
        <f>M130+N130+O130</f>
        <v>2105331</v>
      </c>
      <c r="Q130" s="168">
        <f>178377.41+888.03+2712.17</f>
        <v>181977.61000000002</v>
      </c>
      <c r="R130" s="183">
        <f>1200000-Q130+910000</f>
        <v>1928022.3900000001</v>
      </c>
      <c r="S130" s="98">
        <f t="shared" si="75"/>
        <v>2110000</v>
      </c>
      <c r="T130" s="99">
        <f>IF(ISERR(Q130/S130),"-",Q130/S130)</f>
        <v>8.6245312796208534E-2</v>
      </c>
      <c r="U130" s="142">
        <f>S130-I130</f>
        <v>4669</v>
      </c>
      <c r="V130" s="100">
        <f t="shared" si="74"/>
        <v>-4669</v>
      </c>
      <c r="W130" s="147">
        <f>IF(ISERR(V130/P130),"-",V130/P130)</f>
        <v>-2.2177035345036008E-3</v>
      </c>
    </row>
    <row r="131" spans="1:23" ht="13.35" hidden="1" customHeight="1" outlineLevel="1" x14ac:dyDescent="0.35">
      <c r="A131" s="39" t="s">
        <v>200</v>
      </c>
      <c r="B131" s="39" t="s">
        <v>201</v>
      </c>
      <c r="D131" s="200"/>
      <c r="E131" s="125"/>
      <c r="F131" s="126"/>
      <c r="G131" s="127"/>
      <c r="H131" s="201">
        <v>155700</v>
      </c>
      <c r="I131" s="94">
        <v>155700</v>
      </c>
      <c r="J131" s="95">
        <f t="shared" ref="J131" si="76">I131-H131</f>
        <v>0</v>
      </c>
      <c r="K131" s="158"/>
      <c r="L131" s="158"/>
      <c r="M131" s="86">
        <f>K131+L131</f>
        <v>0</v>
      </c>
      <c r="N131" s="86">
        <v>155700</v>
      </c>
      <c r="O131" s="86"/>
      <c r="P131" s="86">
        <f>M131+N131+O131</f>
        <v>155700</v>
      </c>
      <c r="Q131" s="168">
        <v>1603.68</v>
      </c>
      <c r="R131" s="169">
        <f>P131-Q131</f>
        <v>154096.32000000001</v>
      </c>
      <c r="S131" s="98">
        <f t="shared" si="75"/>
        <v>155700</v>
      </c>
      <c r="T131" s="99">
        <f>IF(ISERR(Q131/S131),"-",Q131/S131)</f>
        <v>1.0299807321772641E-2</v>
      </c>
      <c r="U131" s="142"/>
      <c r="V131" s="100">
        <f t="shared" si="74"/>
        <v>0</v>
      </c>
      <c r="W131" s="147">
        <f>IF(ISERR(V131/P131),"-",V131/P131)</f>
        <v>0</v>
      </c>
    </row>
    <row r="132" spans="1:23" ht="13.35" hidden="1" customHeight="1" outlineLevel="1" x14ac:dyDescent="0.4">
      <c r="A132" s="1" t="s">
        <v>202</v>
      </c>
      <c r="B132" s="9"/>
      <c r="D132" s="200"/>
      <c r="E132" s="149">
        <f>E127</f>
        <v>0</v>
      </c>
      <c r="F132" s="202">
        <f>F128</f>
        <v>81</v>
      </c>
      <c r="G132" s="116">
        <f>G127</f>
        <v>-82</v>
      </c>
      <c r="H132" s="119">
        <f t="shared" ref="H132:T132" si="77">SUM(H127:H131)</f>
        <v>13144071</v>
      </c>
      <c r="I132" s="119">
        <f t="shared" si="77"/>
        <v>11641731</v>
      </c>
      <c r="J132" s="119">
        <f t="shared" si="77"/>
        <v>-1502340</v>
      </c>
      <c r="K132" s="119">
        <f t="shared" si="77"/>
        <v>0</v>
      </c>
      <c r="L132" s="119">
        <f t="shared" si="77"/>
        <v>0</v>
      </c>
      <c r="M132" s="119">
        <f t="shared" si="77"/>
        <v>0</v>
      </c>
      <c r="N132" s="119">
        <f t="shared" si="77"/>
        <v>13144071</v>
      </c>
      <c r="O132" s="167">
        <f t="shared" si="77"/>
        <v>-1502340</v>
      </c>
      <c r="P132" s="119">
        <f t="shared" si="77"/>
        <v>11641731</v>
      </c>
      <c r="Q132" s="121">
        <f t="shared" si="77"/>
        <v>1843265.76</v>
      </c>
      <c r="R132" s="119">
        <f t="shared" si="77"/>
        <v>9872434.2400000002</v>
      </c>
      <c r="S132" s="119">
        <f t="shared" si="77"/>
        <v>11715700</v>
      </c>
      <c r="T132" s="119">
        <f t="shared" si="77"/>
        <v>0.40187678896329709</v>
      </c>
      <c r="U132" s="151">
        <f>SUM(U127:U130)</f>
        <v>73969</v>
      </c>
      <c r="V132" s="123">
        <f>SUM(V127:V131)</f>
        <v>-73969</v>
      </c>
      <c r="W132" s="124">
        <f>IF(ISERR(V132/P132),"-",V132/P132)</f>
        <v>-6.3537802067407329E-3</v>
      </c>
    </row>
    <row r="133" spans="1:23" ht="13.35" hidden="1" customHeight="1" outlineLevel="1" x14ac:dyDescent="0.4">
      <c r="A133" s="9"/>
      <c r="B133" s="9"/>
      <c r="E133" s="125"/>
      <c r="F133" s="126"/>
      <c r="G133" s="127"/>
      <c r="H133" s="125"/>
      <c r="Q133" s="64"/>
      <c r="U133" s="188"/>
      <c r="V133" s="138"/>
      <c r="W133" s="139"/>
    </row>
    <row r="134" spans="1:23" ht="13.35" customHeight="1" collapsed="1" x14ac:dyDescent="0.4">
      <c r="A134" s="185" t="s">
        <v>203</v>
      </c>
      <c r="B134" s="9"/>
      <c r="E134" s="149">
        <f t="shared" ref="E134:S134" si="78">E124+E132</f>
        <v>0</v>
      </c>
      <c r="F134" s="202">
        <f t="shared" si="78"/>
        <v>81</v>
      </c>
      <c r="G134" s="116">
        <f t="shared" si="78"/>
        <v>-82</v>
      </c>
      <c r="H134" s="119">
        <f t="shared" si="78"/>
        <v>13204071</v>
      </c>
      <c r="I134" s="119">
        <f t="shared" si="78"/>
        <v>11822731</v>
      </c>
      <c r="J134" s="150">
        <f t="shared" si="78"/>
        <v>-1381340</v>
      </c>
      <c r="K134" s="119">
        <f t="shared" si="78"/>
        <v>0</v>
      </c>
      <c r="L134" s="119">
        <f t="shared" si="78"/>
        <v>0</v>
      </c>
      <c r="M134" s="119">
        <f t="shared" si="78"/>
        <v>0</v>
      </c>
      <c r="N134" s="119">
        <f t="shared" si="78"/>
        <v>13204071</v>
      </c>
      <c r="O134" s="167">
        <f t="shared" si="78"/>
        <v>-1381340</v>
      </c>
      <c r="P134" s="119">
        <f t="shared" si="78"/>
        <v>11822731</v>
      </c>
      <c r="Q134" s="121">
        <f t="shared" si="78"/>
        <v>1855063.65</v>
      </c>
      <c r="R134" s="119">
        <f t="shared" si="78"/>
        <v>10041636.35</v>
      </c>
      <c r="S134" s="119">
        <f t="shared" si="78"/>
        <v>11896700</v>
      </c>
      <c r="T134" s="122">
        <f>IF(ISERR(Q134/S134),"-",Q134/S134)</f>
        <v>0.15593094303462304</v>
      </c>
      <c r="U134" s="151">
        <f>U124+U132</f>
        <v>73969</v>
      </c>
      <c r="V134" s="123">
        <f>V124+V132</f>
        <v>-73969</v>
      </c>
      <c r="W134" s="124">
        <f>IF(ISERR(V134/P134),"-",V134/P134)</f>
        <v>-6.2565070625391038E-3</v>
      </c>
    </row>
    <row r="135" spans="1:23" ht="13.35" customHeight="1" x14ac:dyDescent="0.4">
      <c r="A135" s="9"/>
      <c r="B135" s="9"/>
      <c r="E135" s="125"/>
      <c r="F135" s="126"/>
      <c r="G135" s="203"/>
      <c r="H135" s="125"/>
      <c r="Q135" s="64"/>
      <c r="U135" s="68"/>
      <c r="V135" s="138"/>
      <c r="W135" s="139"/>
    </row>
    <row r="136" spans="1:23" ht="13.35" customHeight="1" x14ac:dyDescent="0.4">
      <c r="A136" s="9"/>
      <c r="B136" s="9"/>
      <c r="E136" s="125"/>
      <c r="F136" s="126"/>
      <c r="G136" s="127"/>
      <c r="H136" s="125"/>
      <c r="I136" s="135"/>
      <c r="J136" s="135"/>
      <c r="K136" s="204"/>
      <c r="L136" s="204"/>
      <c r="M136" s="204"/>
      <c r="N136" s="204"/>
      <c r="O136" s="204"/>
      <c r="P136" s="204"/>
      <c r="Q136" s="205"/>
      <c r="R136" s="204"/>
      <c r="S136" s="204"/>
      <c r="T136" s="204"/>
      <c r="U136" s="206"/>
      <c r="V136" s="138"/>
      <c r="W136" s="139"/>
    </row>
    <row r="137" spans="1:23" ht="13.35" hidden="1" customHeight="1" outlineLevel="1" x14ac:dyDescent="0.4">
      <c r="A137" s="197" t="s">
        <v>204</v>
      </c>
      <c r="B137" s="9"/>
      <c r="E137" s="125"/>
      <c r="F137" s="126"/>
      <c r="G137" s="127"/>
      <c r="H137" s="125"/>
      <c r="Q137" s="64"/>
      <c r="U137" s="68"/>
      <c r="V137" s="138"/>
      <c r="W137" s="139"/>
    </row>
    <row r="138" spans="1:23" ht="13.35" hidden="1" customHeight="1" outlineLevel="1" x14ac:dyDescent="0.35">
      <c r="A138" s="162" t="s">
        <v>205</v>
      </c>
      <c r="B138" s="162" t="s">
        <v>206</v>
      </c>
      <c r="E138" s="125"/>
      <c r="F138" s="126"/>
      <c r="G138" s="127"/>
      <c r="H138" s="112"/>
      <c r="J138" s="85">
        <f t="shared" ref="J138:J139" si="79">I138-H138</f>
        <v>0</v>
      </c>
      <c r="M138" s="77">
        <f>K138+L138</f>
        <v>0</v>
      </c>
      <c r="N138" s="77"/>
      <c r="O138" s="77"/>
      <c r="P138" s="77">
        <f>M138+N138+O138</f>
        <v>0</v>
      </c>
      <c r="Q138" s="207">
        <v>158.25</v>
      </c>
      <c r="R138" s="208">
        <f>P138-Q138</f>
        <v>-158.25</v>
      </c>
      <c r="S138" s="198">
        <f>SUM(Q138:R138)</f>
        <v>0</v>
      </c>
      <c r="T138" s="99" t="str">
        <f t="shared" ref="T138:T154" si="80">IF(ISERR(Q138/S138),"-",Q138/S138)</f>
        <v>-</v>
      </c>
      <c r="U138" s="142">
        <f t="shared" ref="U138:U154" si="81">S138-I138</f>
        <v>0</v>
      </c>
      <c r="V138" s="131">
        <f t="shared" ref="V138:V154" si="82">P138-S138</f>
        <v>0</v>
      </c>
      <c r="W138" s="147" t="str">
        <f t="shared" ref="W138:W155" si="83">IF(ISERR(V138/P138),"-",V138/P138)</f>
        <v>-</v>
      </c>
    </row>
    <row r="139" spans="1:23" ht="13.35" hidden="1" customHeight="1" outlineLevel="1" x14ac:dyDescent="0.35">
      <c r="A139" s="162" t="s">
        <v>207</v>
      </c>
      <c r="B139" s="162" t="s">
        <v>208</v>
      </c>
      <c r="E139" s="125"/>
      <c r="F139" s="126"/>
      <c r="G139" s="127"/>
      <c r="H139" s="112"/>
      <c r="J139" s="85">
        <f t="shared" si="79"/>
        <v>0</v>
      </c>
      <c r="M139" s="86">
        <f>K139+L139</f>
        <v>0</v>
      </c>
      <c r="N139" s="86"/>
      <c r="O139" s="86"/>
      <c r="P139" s="86">
        <f>M139+N139+O139</f>
        <v>0</v>
      </c>
      <c r="Q139" s="64"/>
      <c r="R139" s="208"/>
      <c r="S139" s="98">
        <f t="shared" ref="S139:S154" si="84">SUM(Q139:R139)</f>
        <v>0</v>
      </c>
      <c r="T139" s="99" t="str">
        <f t="shared" si="80"/>
        <v>-</v>
      </c>
      <c r="U139" s="142">
        <f t="shared" si="81"/>
        <v>0</v>
      </c>
      <c r="V139" s="100">
        <f t="shared" si="82"/>
        <v>0</v>
      </c>
      <c r="W139" s="147" t="str">
        <f t="shared" si="83"/>
        <v>-</v>
      </c>
    </row>
    <row r="140" spans="1:23" ht="13.35" hidden="1" customHeight="1" outlineLevel="1" x14ac:dyDescent="0.35">
      <c r="A140" s="162" t="s">
        <v>209</v>
      </c>
      <c r="B140" s="162" t="s">
        <v>210</v>
      </c>
      <c r="C140" s="88"/>
      <c r="D140" s="88"/>
      <c r="E140" s="209"/>
      <c r="F140" s="210"/>
      <c r="G140" s="211"/>
      <c r="H140" s="155"/>
      <c r="I140" s="77"/>
      <c r="J140" s="85">
        <f>I140-H140</f>
        <v>0</v>
      </c>
      <c r="K140" s="157"/>
      <c r="L140" s="157"/>
      <c r="M140" s="86">
        <f t="shared" ref="M140:M154" si="85">K140+L140</f>
        <v>0</v>
      </c>
      <c r="N140" s="86"/>
      <c r="O140" s="86"/>
      <c r="P140" s="86">
        <f t="shared" ref="P140:P154" si="86">M140+N140+O140</f>
        <v>0</v>
      </c>
      <c r="Q140" s="212">
        <v>88408.08</v>
      </c>
      <c r="R140" s="208">
        <f>P140-Q140</f>
        <v>-88408.08</v>
      </c>
      <c r="S140" s="98">
        <f t="shared" si="84"/>
        <v>0</v>
      </c>
      <c r="T140" s="99" t="str">
        <f t="shared" si="80"/>
        <v>-</v>
      </c>
      <c r="U140" s="142">
        <f t="shared" si="81"/>
        <v>0</v>
      </c>
      <c r="V140" s="100">
        <f t="shared" si="82"/>
        <v>0</v>
      </c>
      <c r="W140" s="147" t="str">
        <f t="shared" si="83"/>
        <v>-</v>
      </c>
    </row>
    <row r="141" spans="1:23" ht="13.35" hidden="1" customHeight="1" outlineLevel="1" x14ac:dyDescent="0.35">
      <c r="A141" s="162" t="s">
        <v>211</v>
      </c>
      <c r="B141" s="162" t="s">
        <v>212</v>
      </c>
      <c r="E141" s="125"/>
      <c r="F141" s="126"/>
      <c r="G141" s="127"/>
      <c r="H141" s="155">
        <v>4649100</v>
      </c>
      <c r="I141" s="94">
        <v>4649100</v>
      </c>
      <c r="J141" s="95">
        <f>I141-H141</f>
        <v>0</v>
      </c>
      <c r="K141" s="158"/>
      <c r="L141" s="158"/>
      <c r="M141" s="86">
        <f t="shared" si="85"/>
        <v>0</v>
      </c>
      <c r="N141" s="86">
        <v>4649100</v>
      </c>
      <c r="O141" s="86"/>
      <c r="P141" s="86">
        <f t="shared" si="86"/>
        <v>4649100</v>
      </c>
      <c r="Q141" s="168">
        <f>-3985.1+901244.43</f>
        <v>897259.33000000007</v>
      </c>
      <c r="R141" s="183">
        <f>3830030-Q141</f>
        <v>2932770.67</v>
      </c>
      <c r="S141" s="98">
        <f t="shared" si="84"/>
        <v>3830030</v>
      </c>
      <c r="T141" s="99">
        <f t="shared" si="80"/>
        <v>0.23426953052587057</v>
      </c>
      <c r="U141" s="142">
        <f t="shared" si="81"/>
        <v>-819070</v>
      </c>
      <c r="V141" s="100">
        <f t="shared" si="82"/>
        <v>819070</v>
      </c>
      <c r="W141" s="147">
        <f t="shared" si="83"/>
        <v>0.17617818502505861</v>
      </c>
    </row>
    <row r="142" spans="1:23" ht="13.35" hidden="1" customHeight="1" outlineLevel="1" x14ac:dyDescent="0.35">
      <c r="A142" s="162" t="s">
        <v>213</v>
      </c>
      <c r="B142" s="162" t="s">
        <v>136</v>
      </c>
      <c r="E142" s="125"/>
      <c r="F142" s="126"/>
      <c r="G142" s="127"/>
      <c r="H142" s="155"/>
      <c r="I142" s="94"/>
      <c r="J142" s="95">
        <f>I142-H142</f>
        <v>0</v>
      </c>
      <c r="K142" s="158"/>
      <c r="L142" s="158"/>
      <c r="M142" s="86">
        <f t="shared" si="85"/>
        <v>0</v>
      </c>
      <c r="N142" s="86"/>
      <c r="O142" s="86"/>
      <c r="P142" s="86">
        <f t="shared" si="86"/>
        <v>0</v>
      </c>
      <c r="Q142" s="168"/>
      <c r="R142" s="169"/>
      <c r="S142" s="98">
        <f t="shared" si="84"/>
        <v>0</v>
      </c>
      <c r="T142" s="99" t="str">
        <f t="shared" si="80"/>
        <v>-</v>
      </c>
      <c r="U142" s="142">
        <f t="shared" si="81"/>
        <v>0</v>
      </c>
      <c r="V142" s="100">
        <f t="shared" si="82"/>
        <v>0</v>
      </c>
      <c r="W142" s="147" t="str">
        <f t="shared" si="83"/>
        <v>-</v>
      </c>
    </row>
    <row r="143" spans="1:23" ht="13.35" hidden="1" customHeight="1" outlineLevel="1" x14ac:dyDescent="0.35">
      <c r="A143" s="162" t="s">
        <v>214</v>
      </c>
      <c r="B143" s="162" t="s">
        <v>215</v>
      </c>
      <c r="E143" s="125"/>
      <c r="F143" s="126"/>
      <c r="G143" s="127"/>
      <c r="H143" s="155"/>
      <c r="I143" s="94"/>
      <c r="J143" s="95">
        <f>I143-H143</f>
        <v>0</v>
      </c>
      <c r="K143" s="158"/>
      <c r="L143" s="158"/>
      <c r="M143" s="86">
        <f t="shared" si="85"/>
        <v>0</v>
      </c>
      <c r="N143" s="86"/>
      <c r="O143" s="86"/>
      <c r="P143" s="86">
        <f t="shared" si="86"/>
        <v>0</v>
      </c>
      <c r="Q143" s="168">
        <f>106904.73+209804.04</f>
        <v>316708.77</v>
      </c>
      <c r="R143" s="183">
        <f>1560583-Q143</f>
        <v>1243874.23</v>
      </c>
      <c r="S143" s="98">
        <f t="shared" si="84"/>
        <v>1560583</v>
      </c>
      <c r="T143" s="99">
        <f t="shared" si="80"/>
        <v>0.2029425990158806</v>
      </c>
      <c r="U143" s="142">
        <f t="shared" si="81"/>
        <v>1560583</v>
      </c>
      <c r="V143" s="100">
        <f t="shared" si="82"/>
        <v>-1560583</v>
      </c>
      <c r="W143" s="147" t="str">
        <f t="shared" si="83"/>
        <v>-</v>
      </c>
    </row>
    <row r="144" spans="1:23" ht="13.35" hidden="1" customHeight="1" outlineLevel="1" x14ac:dyDescent="0.35">
      <c r="A144" s="39" t="s">
        <v>216</v>
      </c>
      <c r="B144" s="39" t="s">
        <v>217</v>
      </c>
      <c r="E144" s="125"/>
      <c r="F144" s="126"/>
      <c r="G144" s="127"/>
      <c r="H144" s="155"/>
      <c r="I144" s="94"/>
      <c r="J144" s="95">
        <f t="shared" ref="J144:J145" si="87">I144-H144</f>
        <v>0</v>
      </c>
      <c r="K144" s="158"/>
      <c r="L144" s="158"/>
      <c r="M144" s="86">
        <f t="shared" si="85"/>
        <v>0</v>
      </c>
      <c r="N144" s="86"/>
      <c r="O144" s="86"/>
      <c r="P144" s="86">
        <f t="shared" si="86"/>
        <v>0</v>
      </c>
      <c r="Q144" s="168"/>
      <c r="R144" s="169"/>
      <c r="S144" s="98">
        <f t="shared" si="84"/>
        <v>0</v>
      </c>
      <c r="T144" s="99" t="str">
        <f t="shared" si="80"/>
        <v>-</v>
      </c>
      <c r="U144" s="142">
        <f t="shared" si="81"/>
        <v>0</v>
      </c>
      <c r="V144" s="100">
        <f t="shared" si="82"/>
        <v>0</v>
      </c>
      <c r="W144" s="147" t="str">
        <f t="shared" si="83"/>
        <v>-</v>
      </c>
    </row>
    <row r="145" spans="1:23" ht="13.35" hidden="1" customHeight="1" outlineLevel="1" x14ac:dyDescent="0.35">
      <c r="A145" s="39" t="s">
        <v>218</v>
      </c>
      <c r="B145" s="39" t="s">
        <v>219</v>
      </c>
      <c r="E145" s="125"/>
      <c r="F145" s="126"/>
      <c r="G145" s="127"/>
      <c r="H145" s="155"/>
      <c r="I145" s="94"/>
      <c r="J145" s="95">
        <f t="shared" si="87"/>
        <v>0</v>
      </c>
      <c r="K145" s="158"/>
      <c r="L145" s="158"/>
      <c r="M145" s="86">
        <f t="shared" si="85"/>
        <v>0</v>
      </c>
      <c r="N145" s="86"/>
      <c r="O145" s="86"/>
      <c r="P145" s="86">
        <f t="shared" si="86"/>
        <v>0</v>
      </c>
      <c r="Q145" s="168"/>
      <c r="R145" s="169"/>
      <c r="S145" s="98">
        <f t="shared" si="84"/>
        <v>0</v>
      </c>
      <c r="T145" s="99" t="str">
        <f t="shared" si="80"/>
        <v>-</v>
      </c>
      <c r="U145" s="142">
        <f t="shared" si="81"/>
        <v>0</v>
      </c>
      <c r="V145" s="100">
        <f t="shared" si="82"/>
        <v>0</v>
      </c>
      <c r="W145" s="147" t="str">
        <f t="shared" si="83"/>
        <v>-</v>
      </c>
    </row>
    <row r="146" spans="1:23" ht="13.35" hidden="1" customHeight="1" outlineLevel="1" x14ac:dyDescent="0.35">
      <c r="A146" s="39" t="s">
        <v>220</v>
      </c>
      <c r="B146" s="39" t="s">
        <v>221</v>
      </c>
      <c r="E146" s="125"/>
      <c r="F146" s="126"/>
      <c r="G146" s="127"/>
      <c r="H146" s="156">
        <v>135200</v>
      </c>
      <c r="I146" s="94">
        <v>135200</v>
      </c>
      <c r="J146" s="95">
        <f>I146-H146</f>
        <v>0</v>
      </c>
      <c r="K146" s="158"/>
      <c r="L146" s="158"/>
      <c r="M146" s="86">
        <f t="shared" si="85"/>
        <v>0</v>
      </c>
      <c r="N146" s="86">
        <v>135200</v>
      </c>
      <c r="O146" s="86"/>
      <c r="P146" s="86">
        <f t="shared" si="86"/>
        <v>135200</v>
      </c>
      <c r="Q146" s="168"/>
      <c r="R146" s="169">
        <f>P146-Q146</f>
        <v>135200</v>
      </c>
      <c r="S146" s="98">
        <f t="shared" si="84"/>
        <v>135200</v>
      </c>
      <c r="T146" s="99">
        <f t="shared" si="80"/>
        <v>0</v>
      </c>
      <c r="U146" s="142">
        <f t="shared" si="81"/>
        <v>0</v>
      </c>
      <c r="V146" s="100">
        <f t="shared" si="82"/>
        <v>0</v>
      </c>
      <c r="W146" s="147">
        <f t="shared" si="83"/>
        <v>0</v>
      </c>
    </row>
    <row r="147" spans="1:23" hidden="1" outlineLevel="1" x14ac:dyDescent="0.35">
      <c r="A147" s="162" t="s">
        <v>222</v>
      </c>
      <c r="B147" s="162" t="s">
        <v>223</v>
      </c>
      <c r="C147" s="88"/>
      <c r="D147" s="88"/>
      <c r="E147" s="209"/>
      <c r="F147" s="210"/>
      <c r="G147" s="211"/>
      <c r="H147" s="156">
        <v>14346800</v>
      </c>
      <c r="I147" s="94">
        <v>14346800</v>
      </c>
      <c r="J147" s="95">
        <f>I147-H147</f>
        <v>0</v>
      </c>
      <c r="K147" s="213"/>
      <c r="L147" s="213"/>
      <c r="M147" s="86">
        <f>K147+L147</f>
        <v>0</v>
      </c>
      <c r="N147" s="86">
        <v>14346800</v>
      </c>
      <c r="O147" s="86"/>
      <c r="P147" s="86">
        <f>M147+N147+O147</f>
        <v>14346800</v>
      </c>
      <c r="Q147" s="212">
        <v>-6762.45</v>
      </c>
      <c r="R147" s="214">
        <f>14500000-Q147</f>
        <v>14506762.449999999</v>
      </c>
      <c r="S147" s="98">
        <f t="shared" si="84"/>
        <v>14500000</v>
      </c>
      <c r="T147" s="99">
        <f>IF(ISERR(Q147/S147),"-",Q147/S147)</f>
        <v>-4.6637586206896552E-4</v>
      </c>
      <c r="U147" s="142">
        <f>S147-I147</f>
        <v>153200</v>
      </c>
      <c r="V147" s="100">
        <f>P147-S147</f>
        <v>-153200</v>
      </c>
      <c r="W147" s="147">
        <f t="shared" si="83"/>
        <v>-1.0678339420637355E-2</v>
      </c>
    </row>
    <row r="148" spans="1:23" ht="13.35" hidden="1" customHeight="1" outlineLevel="1" x14ac:dyDescent="0.35">
      <c r="A148" s="39" t="s">
        <v>224</v>
      </c>
      <c r="B148" s="39" t="s">
        <v>225</v>
      </c>
      <c r="E148" s="125"/>
      <c r="F148" s="126"/>
      <c r="G148" s="127"/>
      <c r="H148" s="156">
        <v>3188900</v>
      </c>
      <c r="I148" s="94">
        <v>3188900</v>
      </c>
      <c r="J148" s="95">
        <f t="shared" ref="J148:J154" si="88">I148-H148</f>
        <v>0</v>
      </c>
      <c r="K148" s="158"/>
      <c r="L148" s="158"/>
      <c r="M148" s="86">
        <f t="shared" si="85"/>
        <v>0</v>
      </c>
      <c r="N148" s="86">
        <v>3188900</v>
      </c>
      <c r="O148" s="86"/>
      <c r="P148" s="86">
        <f t="shared" si="86"/>
        <v>3188900</v>
      </c>
      <c r="Q148" s="168">
        <v>732115.85</v>
      </c>
      <c r="R148" s="183">
        <f>3200000-Q148</f>
        <v>2467884.15</v>
      </c>
      <c r="S148" s="98">
        <f t="shared" si="84"/>
        <v>3200000</v>
      </c>
      <c r="T148" s="99">
        <f t="shared" si="80"/>
        <v>0.228786203125</v>
      </c>
      <c r="U148" s="142">
        <f t="shared" si="81"/>
        <v>11100</v>
      </c>
      <c r="V148" s="100">
        <f t="shared" si="82"/>
        <v>-11100</v>
      </c>
      <c r="W148" s="147">
        <f t="shared" si="83"/>
        <v>-3.4808241086267994E-3</v>
      </c>
    </row>
    <row r="149" spans="1:23" hidden="1" outlineLevel="1" x14ac:dyDescent="0.35">
      <c r="A149" s="162" t="s">
        <v>226</v>
      </c>
      <c r="B149" s="162" t="s">
        <v>227</v>
      </c>
      <c r="C149" s="88"/>
      <c r="D149" s="88"/>
      <c r="E149" s="209"/>
      <c r="F149" s="210"/>
      <c r="G149" s="211"/>
      <c r="H149" s="156">
        <v>4785900</v>
      </c>
      <c r="I149" s="94">
        <v>4785900</v>
      </c>
      <c r="J149" s="95">
        <f t="shared" si="88"/>
        <v>0</v>
      </c>
      <c r="K149" s="213"/>
      <c r="L149" s="213"/>
      <c r="M149" s="86">
        <f t="shared" si="85"/>
        <v>0</v>
      </c>
      <c r="N149" s="86">
        <v>4785900</v>
      </c>
      <c r="O149" s="86"/>
      <c r="P149" s="86">
        <f t="shared" si="86"/>
        <v>4785900</v>
      </c>
      <c r="Q149" s="212">
        <f>-1986.67+1180919.34</f>
        <v>1178932.6700000002</v>
      </c>
      <c r="R149" s="214">
        <f>4990100-Q149</f>
        <v>3811167.33</v>
      </c>
      <c r="S149" s="98">
        <f t="shared" si="84"/>
        <v>4990100</v>
      </c>
      <c r="T149" s="99">
        <f t="shared" si="80"/>
        <v>0.23625431754874654</v>
      </c>
      <c r="U149" s="142">
        <f t="shared" si="81"/>
        <v>204200</v>
      </c>
      <c r="V149" s="100">
        <f t="shared" si="82"/>
        <v>-204200</v>
      </c>
      <c r="W149" s="147">
        <f t="shared" si="83"/>
        <v>-4.2667000982051444E-2</v>
      </c>
    </row>
    <row r="150" spans="1:23" hidden="1" outlineLevel="1" x14ac:dyDescent="0.35">
      <c r="A150" s="162" t="s">
        <v>228</v>
      </c>
      <c r="B150" s="162" t="s">
        <v>229</v>
      </c>
      <c r="C150" s="88"/>
      <c r="D150" s="88"/>
      <c r="E150" s="209"/>
      <c r="F150" s="210"/>
      <c r="G150" s="211"/>
      <c r="H150" s="112">
        <v>154000</v>
      </c>
      <c r="I150" s="94">
        <v>154000</v>
      </c>
      <c r="J150" s="95">
        <f t="shared" si="88"/>
        <v>0</v>
      </c>
      <c r="K150" s="213"/>
      <c r="L150" s="213"/>
      <c r="M150" s="86">
        <f t="shared" si="85"/>
        <v>0</v>
      </c>
      <c r="N150" s="86">
        <v>154000</v>
      </c>
      <c r="O150" s="86"/>
      <c r="P150" s="86">
        <f t="shared" si="86"/>
        <v>154000</v>
      </c>
      <c r="Q150" s="212"/>
      <c r="R150" s="208">
        <f>P150-Q150</f>
        <v>154000</v>
      </c>
      <c r="S150" s="98">
        <f t="shared" si="84"/>
        <v>154000</v>
      </c>
      <c r="T150" s="99">
        <f t="shared" si="80"/>
        <v>0</v>
      </c>
      <c r="U150" s="142">
        <f t="shared" si="81"/>
        <v>0</v>
      </c>
      <c r="V150" s="100">
        <f t="shared" si="82"/>
        <v>0</v>
      </c>
      <c r="W150" s="147">
        <f t="shared" si="83"/>
        <v>0</v>
      </c>
    </row>
    <row r="151" spans="1:23" ht="13.35" hidden="1" customHeight="1" outlineLevel="1" x14ac:dyDescent="0.35">
      <c r="A151" s="162" t="s">
        <v>230</v>
      </c>
      <c r="B151" s="162" t="s">
        <v>231</v>
      </c>
      <c r="C151" s="88"/>
      <c r="D151" s="88"/>
      <c r="E151" s="209"/>
      <c r="F151" s="210"/>
      <c r="G151" s="211"/>
      <c r="H151" s="112">
        <v>75900</v>
      </c>
      <c r="I151" s="94">
        <v>75900</v>
      </c>
      <c r="J151" s="95">
        <f t="shared" si="88"/>
        <v>0</v>
      </c>
      <c r="K151" s="213"/>
      <c r="L151" s="213"/>
      <c r="M151" s="86">
        <f t="shared" si="85"/>
        <v>0</v>
      </c>
      <c r="N151" s="86">
        <v>75900</v>
      </c>
      <c r="O151" s="86"/>
      <c r="P151" s="86">
        <f t="shared" si="86"/>
        <v>75900</v>
      </c>
      <c r="Q151" s="212"/>
      <c r="R151" s="208">
        <f>P151-Q151</f>
        <v>75900</v>
      </c>
      <c r="S151" s="98">
        <f t="shared" si="84"/>
        <v>75900</v>
      </c>
      <c r="T151" s="99">
        <f t="shared" si="80"/>
        <v>0</v>
      </c>
      <c r="U151" s="142">
        <f t="shared" si="81"/>
        <v>0</v>
      </c>
      <c r="V151" s="100">
        <f t="shared" si="82"/>
        <v>0</v>
      </c>
      <c r="W151" s="147">
        <f t="shared" si="83"/>
        <v>0</v>
      </c>
    </row>
    <row r="152" spans="1:23" ht="13.35" hidden="1" customHeight="1" outlineLevel="1" x14ac:dyDescent="0.35">
      <c r="A152" s="162" t="s">
        <v>232</v>
      </c>
      <c r="B152" s="162" t="s">
        <v>233</v>
      </c>
      <c r="C152" s="88"/>
      <c r="D152" s="88"/>
      <c r="E152" s="209"/>
      <c r="F152" s="210"/>
      <c r="G152" s="211"/>
      <c r="H152" s="112">
        <v>20000</v>
      </c>
      <c r="I152" s="94">
        <v>20000</v>
      </c>
      <c r="J152" s="95">
        <f t="shared" si="88"/>
        <v>0</v>
      </c>
      <c r="K152" s="213"/>
      <c r="L152" s="213"/>
      <c r="M152" s="86">
        <f t="shared" si="85"/>
        <v>0</v>
      </c>
      <c r="N152" s="86">
        <v>20000</v>
      </c>
      <c r="O152" s="86"/>
      <c r="P152" s="86">
        <f t="shared" si="86"/>
        <v>20000</v>
      </c>
      <c r="Q152" s="212">
        <f>487.16+1445.8</f>
        <v>1932.96</v>
      </c>
      <c r="R152" s="208">
        <f>P152-Q152</f>
        <v>18067.04</v>
      </c>
      <c r="S152" s="98">
        <f t="shared" si="84"/>
        <v>20000</v>
      </c>
      <c r="T152" s="99">
        <f t="shared" si="80"/>
        <v>9.6647999999999998E-2</v>
      </c>
      <c r="U152" s="142">
        <f t="shared" si="81"/>
        <v>0</v>
      </c>
      <c r="V152" s="100">
        <f t="shared" si="82"/>
        <v>0</v>
      </c>
      <c r="W152" s="147">
        <f t="shared" si="83"/>
        <v>0</v>
      </c>
    </row>
    <row r="153" spans="1:23" hidden="1" outlineLevel="1" x14ac:dyDescent="0.35">
      <c r="A153" s="39" t="s">
        <v>234</v>
      </c>
      <c r="B153" s="39" t="s">
        <v>235</v>
      </c>
      <c r="E153" s="125"/>
      <c r="F153" s="126"/>
      <c r="G153" s="127"/>
      <c r="H153" s="112">
        <f>3700+86000</f>
        <v>89700</v>
      </c>
      <c r="I153" s="94">
        <v>89700</v>
      </c>
      <c r="J153" s="95">
        <f t="shared" si="88"/>
        <v>0</v>
      </c>
      <c r="K153" s="158"/>
      <c r="L153" s="158"/>
      <c r="M153" s="86">
        <f t="shared" si="85"/>
        <v>0</v>
      </c>
      <c r="N153" s="86">
        <v>89700</v>
      </c>
      <c r="O153" s="86"/>
      <c r="P153" s="86">
        <f t="shared" si="86"/>
        <v>89700</v>
      </c>
      <c r="Q153" s="168">
        <f>3803</f>
        <v>3803</v>
      </c>
      <c r="R153" s="169">
        <f>P153-Q153</f>
        <v>85897</v>
      </c>
      <c r="S153" s="98">
        <f t="shared" si="84"/>
        <v>89700</v>
      </c>
      <c r="T153" s="99">
        <f t="shared" si="80"/>
        <v>4.2396878483835006E-2</v>
      </c>
      <c r="U153" s="142">
        <f t="shared" si="81"/>
        <v>0</v>
      </c>
      <c r="V153" s="100">
        <f t="shared" si="82"/>
        <v>0</v>
      </c>
      <c r="W153" s="147">
        <f t="shared" si="83"/>
        <v>0</v>
      </c>
    </row>
    <row r="154" spans="1:23" ht="13.35" hidden="1" customHeight="1" outlineLevel="1" x14ac:dyDescent="0.35">
      <c r="A154" s="39" t="s">
        <v>236</v>
      </c>
      <c r="B154" s="39" t="s">
        <v>237</v>
      </c>
      <c r="E154" s="125"/>
      <c r="F154" s="126"/>
      <c r="G154" s="127"/>
      <c r="H154" s="112"/>
      <c r="I154" s="94"/>
      <c r="J154" s="95">
        <f t="shared" si="88"/>
        <v>0</v>
      </c>
      <c r="K154" s="158"/>
      <c r="L154" s="158"/>
      <c r="M154" s="86">
        <f t="shared" si="85"/>
        <v>0</v>
      </c>
      <c r="N154" s="86"/>
      <c r="O154" s="86"/>
      <c r="P154" s="86">
        <f t="shared" si="86"/>
        <v>0</v>
      </c>
      <c r="Q154" s="168"/>
      <c r="R154" s="169">
        <f>P154-Q154</f>
        <v>0</v>
      </c>
      <c r="S154" s="98">
        <f t="shared" si="84"/>
        <v>0</v>
      </c>
      <c r="T154" s="99" t="str">
        <f t="shared" si="80"/>
        <v>-</v>
      </c>
      <c r="U154" s="142">
        <f t="shared" si="81"/>
        <v>0</v>
      </c>
      <c r="V154" s="100">
        <f t="shared" si="82"/>
        <v>0</v>
      </c>
      <c r="W154" s="147" t="str">
        <f t="shared" si="83"/>
        <v>-</v>
      </c>
    </row>
    <row r="155" spans="1:23" ht="13.35" customHeight="1" collapsed="1" x14ac:dyDescent="0.4">
      <c r="A155" s="185" t="s">
        <v>238</v>
      </c>
      <c r="B155" s="9"/>
      <c r="E155" s="149">
        <f>SUM(E140:E153)</f>
        <v>0</v>
      </c>
      <c r="F155" s="202">
        <f>SUM(F140:F153)</f>
        <v>0</v>
      </c>
      <c r="G155" s="116">
        <f>SUM(G140:G153)</f>
        <v>0</v>
      </c>
      <c r="H155" s="121">
        <f t="shared" ref="H155:S155" si="89">SUM(H138:H154)</f>
        <v>27445500</v>
      </c>
      <c r="I155" s="119">
        <f t="shared" si="89"/>
        <v>27445500</v>
      </c>
      <c r="J155" s="119">
        <f t="shared" si="89"/>
        <v>0</v>
      </c>
      <c r="K155" s="119">
        <f t="shared" si="89"/>
        <v>0</v>
      </c>
      <c r="L155" s="119">
        <f t="shared" si="89"/>
        <v>0</v>
      </c>
      <c r="M155" s="119">
        <f t="shared" si="89"/>
        <v>0</v>
      </c>
      <c r="N155" s="119">
        <f t="shared" si="89"/>
        <v>27445500</v>
      </c>
      <c r="O155" s="120">
        <f t="shared" si="89"/>
        <v>0</v>
      </c>
      <c r="P155" s="119">
        <f t="shared" si="89"/>
        <v>27445500</v>
      </c>
      <c r="Q155" s="121">
        <f t="shared" si="89"/>
        <v>3212556.46</v>
      </c>
      <c r="R155" s="119">
        <f t="shared" si="89"/>
        <v>25342956.539999999</v>
      </c>
      <c r="S155" s="119">
        <f t="shared" si="89"/>
        <v>28555513</v>
      </c>
      <c r="T155" s="122">
        <f>IF(ISERR(Q155/S155),"-",Q155/S155)</f>
        <v>0.11250214485728202</v>
      </c>
      <c r="U155" s="151">
        <f>SUM(U140:U154)</f>
        <v>1110013</v>
      </c>
      <c r="V155" s="123">
        <f>SUM(V140:V154)</f>
        <v>-1110013</v>
      </c>
      <c r="W155" s="124">
        <f t="shared" si="83"/>
        <v>-4.0444262265216517E-2</v>
      </c>
    </row>
    <row r="156" spans="1:23" ht="13.35" customHeight="1" x14ac:dyDescent="0.35">
      <c r="A156" s="39"/>
      <c r="B156" s="39"/>
      <c r="E156" s="125"/>
      <c r="F156" s="126"/>
      <c r="G156" s="127"/>
      <c r="H156" s="186"/>
      <c r="I156" s="215"/>
      <c r="J156" s="215"/>
      <c r="K156" s="215"/>
      <c r="L156" s="215"/>
      <c r="M156" s="215"/>
      <c r="N156" s="215"/>
      <c r="O156" s="215"/>
      <c r="P156" s="215"/>
      <c r="Q156" s="216"/>
      <c r="R156" s="215"/>
      <c r="S156" s="215"/>
      <c r="T156" s="217"/>
      <c r="U156" s="218"/>
      <c r="V156" s="219"/>
      <c r="W156" s="220"/>
    </row>
    <row r="157" spans="1:23" ht="13.35" customHeight="1" x14ac:dyDescent="0.35">
      <c r="A157" s="39"/>
      <c r="B157" s="39"/>
      <c r="E157" s="125"/>
      <c r="F157" s="126"/>
      <c r="G157" s="127"/>
      <c r="H157" s="125"/>
      <c r="I157" s="215"/>
      <c r="J157" s="215"/>
      <c r="K157" s="215"/>
      <c r="L157" s="215"/>
      <c r="M157" s="215"/>
      <c r="N157" s="215"/>
      <c r="O157" s="215"/>
      <c r="P157" s="215"/>
      <c r="Q157" s="216"/>
      <c r="R157" s="215"/>
      <c r="S157" s="215"/>
      <c r="T157" s="99"/>
      <c r="U157" s="218"/>
      <c r="V157" s="219"/>
      <c r="W157" s="220"/>
    </row>
    <row r="158" spans="1:23" ht="13.35" hidden="1" customHeight="1" outlineLevel="1" x14ac:dyDescent="0.35">
      <c r="A158" s="197" t="s">
        <v>239</v>
      </c>
      <c r="B158" s="39"/>
      <c r="E158" s="125"/>
      <c r="F158" s="126"/>
      <c r="G158" s="127"/>
      <c r="H158" s="125"/>
      <c r="I158" s="215"/>
      <c r="J158" s="215"/>
      <c r="K158" s="215"/>
      <c r="L158" s="215"/>
      <c r="M158" s="215"/>
      <c r="N158" s="215"/>
      <c r="O158" s="215"/>
      <c r="P158" s="215"/>
      <c r="Q158" s="216"/>
      <c r="R158" s="215"/>
      <c r="S158" s="215"/>
      <c r="T158" s="99"/>
      <c r="U158" s="218"/>
      <c r="V158" s="219"/>
      <c r="W158" s="220"/>
    </row>
    <row r="159" spans="1:23" ht="13.35" hidden="1" customHeight="1" outlineLevel="1" x14ac:dyDescent="0.35">
      <c r="A159" s="162" t="s">
        <v>240</v>
      </c>
      <c r="B159" s="39" t="s">
        <v>241</v>
      </c>
      <c r="E159" s="125"/>
      <c r="F159" s="126"/>
      <c r="G159" s="75">
        <f t="shared" ref="G159" si="90">E159-F159</f>
        <v>0</v>
      </c>
      <c r="H159" s="155"/>
      <c r="I159" s="215"/>
      <c r="J159" s="95">
        <f t="shared" ref="J159:J162" si="91">I159-H159</f>
        <v>0</v>
      </c>
      <c r="K159" s="215"/>
      <c r="L159" s="215"/>
      <c r="M159" s="77">
        <f>K159+L159</f>
        <v>0</v>
      </c>
      <c r="N159" s="77"/>
      <c r="O159" s="77"/>
      <c r="P159" s="77">
        <f>M159+N159+O159</f>
        <v>0</v>
      </c>
      <c r="Q159" s="168">
        <v>58567.81</v>
      </c>
      <c r="R159" s="208">
        <f>P159-Q159</f>
        <v>-58567.81</v>
      </c>
      <c r="S159" s="98">
        <f>SUM(Q159:R159)</f>
        <v>0</v>
      </c>
      <c r="T159" s="99" t="str">
        <f t="shared" ref="T159:T162" si="92">IF(ISERR(Q159/S159),"-",Q159/S159)</f>
        <v>-</v>
      </c>
      <c r="U159" s="142">
        <f>S159-I159</f>
        <v>0</v>
      </c>
      <c r="V159" s="221">
        <f>P159-S159</f>
        <v>0</v>
      </c>
      <c r="W159" s="147" t="str">
        <f t="shared" ref="W159:W162" si="93">IF(ISERR(V159/P159),"-",V159/P159)</f>
        <v>-</v>
      </c>
    </row>
    <row r="160" spans="1:23" ht="13.35" hidden="1" customHeight="1" outlineLevel="1" x14ac:dyDescent="0.35">
      <c r="A160" s="162" t="s">
        <v>242</v>
      </c>
      <c r="B160" s="39" t="s">
        <v>243</v>
      </c>
      <c r="E160" s="125"/>
      <c r="F160" s="126"/>
      <c r="G160" s="127"/>
      <c r="H160" s="112">
        <v>0</v>
      </c>
      <c r="I160" s="94"/>
      <c r="J160" s="95">
        <f t="shared" si="91"/>
        <v>0</v>
      </c>
      <c r="K160" s="86"/>
      <c r="L160" s="215"/>
      <c r="M160" s="86">
        <f>K160+L160</f>
        <v>0</v>
      </c>
      <c r="N160" s="86"/>
      <c r="O160" s="86"/>
      <c r="P160" s="86">
        <f>M160+N160+O160</f>
        <v>0</v>
      </c>
      <c r="Q160" s="168">
        <f>478.41+49509.69</f>
        <v>49988.100000000006</v>
      </c>
      <c r="R160" s="208">
        <f>P160-Q160</f>
        <v>-49988.100000000006</v>
      </c>
      <c r="S160" s="98">
        <f t="shared" ref="S160:S162" si="94">SUM(Q160:R160)</f>
        <v>0</v>
      </c>
      <c r="T160" s="222" t="str">
        <f t="shared" si="92"/>
        <v>-</v>
      </c>
      <c r="U160" s="142">
        <f>S160-I160</f>
        <v>0</v>
      </c>
      <c r="V160" s="221">
        <f t="shared" ref="V160:V162" si="95">P160-S160</f>
        <v>0</v>
      </c>
      <c r="W160" s="147" t="str">
        <f t="shared" si="93"/>
        <v>-</v>
      </c>
    </row>
    <row r="161" spans="1:23" ht="13.35" hidden="1" customHeight="1" outlineLevel="1" x14ac:dyDescent="0.35">
      <c r="A161" s="162" t="s">
        <v>244</v>
      </c>
      <c r="B161" s="39" t="s">
        <v>245</v>
      </c>
      <c r="E161" s="125"/>
      <c r="F161" s="126"/>
      <c r="G161" s="126"/>
      <c r="H161" s="112"/>
      <c r="I161" s="94"/>
      <c r="J161" s="95">
        <f t="shared" si="91"/>
        <v>0</v>
      </c>
      <c r="K161" s="86"/>
      <c r="L161" s="215"/>
      <c r="M161" s="86">
        <f t="shared" ref="M161:M162" si="96">K161+L161</f>
        <v>0</v>
      </c>
      <c r="N161" s="86"/>
      <c r="O161" s="86"/>
      <c r="P161" s="86">
        <f t="shared" ref="P161:P162" si="97">M161+N161+O161</f>
        <v>0</v>
      </c>
      <c r="Q161" s="168">
        <v>624.89</v>
      </c>
      <c r="R161" s="208">
        <f t="shared" ref="R161:R162" si="98">P161-Q161</f>
        <v>-624.89</v>
      </c>
      <c r="S161" s="98">
        <f t="shared" si="94"/>
        <v>0</v>
      </c>
      <c r="T161" s="222" t="str">
        <f t="shared" si="92"/>
        <v>-</v>
      </c>
      <c r="U161" s="142"/>
      <c r="V161" s="221">
        <f t="shared" si="95"/>
        <v>0</v>
      </c>
      <c r="W161" s="147" t="str">
        <f t="shared" si="93"/>
        <v>-</v>
      </c>
    </row>
    <row r="162" spans="1:23" ht="13.35" hidden="1" customHeight="1" outlineLevel="1" x14ac:dyDescent="0.35">
      <c r="A162" s="162" t="s">
        <v>246</v>
      </c>
      <c r="B162" s="39" t="s">
        <v>247</v>
      </c>
      <c r="E162" s="125"/>
      <c r="F162" s="126"/>
      <c r="G162" s="126"/>
      <c r="H162" s="112"/>
      <c r="I162" s="94"/>
      <c r="J162" s="95">
        <f t="shared" si="91"/>
        <v>0</v>
      </c>
      <c r="K162" s="86"/>
      <c r="L162" s="215"/>
      <c r="M162" s="86">
        <f t="shared" si="96"/>
        <v>0</v>
      </c>
      <c r="N162" s="86"/>
      <c r="O162" s="86"/>
      <c r="P162" s="86">
        <f t="shared" si="97"/>
        <v>0</v>
      </c>
      <c r="Q162" s="168">
        <v>73251.350000000006</v>
      </c>
      <c r="R162" s="208">
        <f t="shared" si="98"/>
        <v>-73251.350000000006</v>
      </c>
      <c r="S162" s="98">
        <f t="shared" si="94"/>
        <v>0</v>
      </c>
      <c r="T162" s="222" t="str">
        <f t="shared" si="92"/>
        <v>-</v>
      </c>
      <c r="U162" s="142"/>
      <c r="V162" s="221">
        <f t="shared" si="95"/>
        <v>0</v>
      </c>
      <c r="W162" s="147" t="str">
        <f t="shared" si="93"/>
        <v>-</v>
      </c>
    </row>
    <row r="163" spans="1:23" ht="13.35" customHeight="1" collapsed="1" x14ac:dyDescent="0.35">
      <c r="A163" s="185" t="s">
        <v>248</v>
      </c>
      <c r="B163" s="39"/>
      <c r="E163" s="149">
        <f>E159</f>
        <v>0</v>
      </c>
      <c r="F163" s="202">
        <f>F159</f>
        <v>0</v>
      </c>
      <c r="G163" s="202">
        <f>G159</f>
        <v>0</v>
      </c>
      <c r="H163" s="121">
        <f t="shared" ref="H163:S163" si="99">SUM(H159:H162)</f>
        <v>0</v>
      </c>
      <c r="I163" s="119">
        <f t="shared" si="99"/>
        <v>0</v>
      </c>
      <c r="J163" s="150">
        <f t="shared" si="99"/>
        <v>0</v>
      </c>
      <c r="K163" s="119">
        <f t="shared" si="99"/>
        <v>0</v>
      </c>
      <c r="L163" s="119">
        <f t="shared" si="99"/>
        <v>0</v>
      </c>
      <c r="M163" s="119">
        <f t="shared" si="99"/>
        <v>0</v>
      </c>
      <c r="N163" s="119">
        <f t="shared" si="99"/>
        <v>0</v>
      </c>
      <c r="O163" s="119">
        <f t="shared" si="99"/>
        <v>0</v>
      </c>
      <c r="P163" s="119">
        <f t="shared" si="99"/>
        <v>0</v>
      </c>
      <c r="Q163" s="121">
        <f t="shared" si="99"/>
        <v>182432.15000000002</v>
      </c>
      <c r="R163" s="119">
        <f t="shared" si="99"/>
        <v>-182432.15000000002</v>
      </c>
      <c r="S163" s="119">
        <f t="shared" si="99"/>
        <v>0</v>
      </c>
      <c r="T163" s="122" t="str">
        <f>IF(ISERR(Q163/S163),"-",Q163/S163)</f>
        <v>-</v>
      </c>
      <c r="U163" s="151">
        <f>SUM(U159:U160)</f>
        <v>0</v>
      </c>
      <c r="V163" s="123">
        <f>SUM(V159:V162)</f>
        <v>0</v>
      </c>
      <c r="W163" s="124" t="str">
        <f>IF(ISERR(V163/P163),"-",V163/P163)</f>
        <v>-</v>
      </c>
    </row>
    <row r="164" spans="1:23" ht="13.35" customHeight="1" x14ac:dyDescent="0.35">
      <c r="A164" s="185"/>
      <c r="B164" s="39"/>
      <c r="E164" s="223"/>
      <c r="F164" s="224"/>
      <c r="G164" s="224"/>
      <c r="H164" s="129"/>
      <c r="I164" s="128"/>
      <c r="J164" s="85"/>
      <c r="K164" s="128"/>
      <c r="L164" s="128"/>
      <c r="M164" s="128"/>
      <c r="N164" s="128"/>
      <c r="O164" s="128"/>
      <c r="P164" s="128"/>
      <c r="Q164" s="129"/>
      <c r="R164" s="128"/>
      <c r="S164" s="128"/>
      <c r="T164" s="99"/>
      <c r="U164" s="225"/>
      <c r="V164" s="131"/>
      <c r="W164" s="147"/>
    </row>
    <row r="165" spans="1:23" ht="13.35" customHeight="1" x14ac:dyDescent="0.35">
      <c r="A165" s="39"/>
      <c r="B165" s="39"/>
      <c r="E165" s="125"/>
      <c r="F165" s="126"/>
      <c r="G165" s="127"/>
      <c r="H165" s="226"/>
      <c r="I165" s="227"/>
      <c r="J165" s="95">
        <f t="shared" ref="J165" si="100">I165-H165</f>
        <v>0</v>
      </c>
      <c r="K165" s="215"/>
      <c r="L165" s="215"/>
      <c r="M165" s="215"/>
      <c r="N165" s="227"/>
      <c r="O165" s="86"/>
      <c r="P165" s="228">
        <f>M165+N165+O165</f>
        <v>0</v>
      </c>
      <c r="Q165" s="98">
        <v>0</v>
      </c>
      <c r="R165" s="98">
        <v>0</v>
      </c>
      <c r="S165" s="98">
        <f>Q165+R165</f>
        <v>0</v>
      </c>
      <c r="T165" s="229"/>
      <c r="U165" s="230"/>
      <c r="V165" s="98">
        <f>P165-S165</f>
        <v>0</v>
      </c>
      <c r="W165" s="220"/>
    </row>
    <row r="166" spans="1:23" ht="13.35" customHeight="1" x14ac:dyDescent="0.4">
      <c r="A166" s="39"/>
      <c r="B166" s="39"/>
      <c r="E166" s="125"/>
      <c r="F166" s="126"/>
      <c r="G166" s="127"/>
      <c r="H166" s="125"/>
      <c r="I166" s="231"/>
      <c r="J166" s="231"/>
      <c r="K166" s="231"/>
      <c r="L166" s="231"/>
      <c r="M166" s="231"/>
      <c r="N166" s="231"/>
      <c r="O166" s="231"/>
      <c r="P166" s="231"/>
      <c r="Q166" s="232"/>
      <c r="R166" s="231"/>
      <c r="S166" s="231"/>
      <c r="T166" s="231"/>
      <c r="U166" s="188"/>
      <c r="V166" s="138"/>
      <c r="W166" s="220"/>
    </row>
    <row r="167" spans="1:23" ht="13.35" customHeight="1" thickBot="1" x14ac:dyDescent="0.45">
      <c r="A167" s="185" t="s">
        <v>249</v>
      </c>
      <c r="B167" s="9"/>
      <c r="E167" s="233">
        <f>E22+E36+E55+E68+E75+E104+E116+E134+E155+E163</f>
        <v>0</v>
      </c>
      <c r="F167" s="234">
        <f>F22+F36+F55+F68+F75+F104+F116+F134+F155+F163</f>
        <v>3065.6499999999996</v>
      </c>
      <c r="G167" s="235">
        <f>G22+G36+G55+G68+G75+G104+G116+G134+G155+G163</f>
        <v>-3224.73</v>
      </c>
      <c r="H167" s="236">
        <f>H22+H36+H55+H68+H75+H104+H116+H134+H155+H163+H165</f>
        <v>350597300</v>
      </c>
      <c r="I167" s="236">
        <f>I22+I36+I55+I68+I75+I104+I116+I134+I155+I163+I165</f>
        <v>350597300</v>
      </c>
      <c r="J167" s="237">
        <f>J22+J36+J55+J68+J75+J104+J116+J134+J155+J163+J165</f>
        <v>0</v>
      </c>
      <c r="K167" s="236">
        <f>K22+K36+K55+K68+K75+K104+K116+K134+K155+K163</f>
        <v>0</v>
      </c>
      <c r="L167" s="236">
        <f>L22+L36+L55+L68+L75+L104+L116+L134+L155+L163</f>
        <v>0</v>
      </c>
      <c r="M167" s="236">
        <f t="shared" ref="M167:S167" si="101">M22+M36+M55+M68+M75+M104+M116+M134+M155+M163+M165</f>
        <v>0</v>
      </c>
      <c r="N167" s="236">
        <f t="shared" si="101"/>
        <v>350597300</v>
      </c>
      <c r="O167" s="238">
        <f t="shared" si="101"/>
        <v>0</v>
      </c>
      <c r="P167" s="236">
        <f t="shared" si="101"/>
        <v>350597300</v>
      </c>
      <c r="Q167" s="239">
        <f t="shared" si="101"/>
        <v>62758104.949999996</v>
      </c>
      <c r="R167" s="236">
        <f t="shared" si="101"/>
        <v>287839195.50551939</v>
      </c>
      <c r="S167" s="236">
        <f t="shared" si="101"/>
        <v>350597300.45551944</v>
      </c>
      <c r="T167" s="240">
        <f>IF(ISERR(Q167/S167),"-",Q167/S167)</f>
        <v>0.17900338898348753</v>
      </c>
      <c r="U167" s="241">
        <f>U22+U36+U55+U68+U75+U104+U116+U134+U155+U163</f>
        <v>-185999.54448055616</v>
      </c>
      <c r="V167" s="123">
        <f>V22+V36+V55+V68+V75+V104+V116+V134+V155+V163+V165</f>
        <v>-0.45551944384351373</v>
      </c>
      <c r="W167" s="124">
        <f>IF(ISERR(V167/P167),"-",V167/P167)</f>
        <v>-1.2992668336108514E-9</v>
      </c>
    </row>
    <row r="168" spans="1:23" ht="13.35" customHeight="1" thickTop="1" x14ac:dyDescent="0.35">
      <c r="A168" s="5"/>
      <c r="B168" s="242"/>
      <c r="C168" s="5"/>
      <c r="D168" s="5"/>
      <c r="E168" s="243"/>
      <c r="F168" s="126"/>
      <c r="G168" s="243"/>
      <c r="H168" s="243"/>
      <c r="I168" s="204"/>
      <c r="J168" s="204"/>
      <c r="K168" s="204"/>
      <c r="L168" s="204"/>
      <c r="V168" s="200"/>
      <c r="W168" s="244"/>
    </row>
    <row r="169" spans="1:23" x14ac:dyDescent="0.35">
      <c r="F169" s="126"/>
    </row>
    <row r="170" spans="1:23" x14ac:dyDescent="0.35">
      <c r="F170" s="126"/>
    </row>
  </sheetData>
  <mergeCells count="12">
    <mergeCell ref="J4:N4"/>
    <mergeCell ref="I5:O5"/>
    <mergeCell ref="E6:G6"/>
    <mergeCell ref="H6:P6"/>
    <mergeCell ref="Q6:T6"/>
    <mergeCell ref="V6:W6"/>
    <mergeCell ref="E1:P1"/>
    <mergeCell ref="Q1:W1"/>
    <mergeCell ref="E2:P2"/>
    <mergeCell ref="Q2:W2"/>
    <mergeCell ref="E3:P3"/>
    <mergeCell ref="Q3:W3"/>
  </mergeCells>
  <pageMargins left="0.7" right="0.7" top="0.75" bottom="0.75" header="0.3" footer="0.3"/>
  <pageSetup paperSize="5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Anglophone School Districts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Tracey, Shawn (ASD-W)</dc:creator>
  <cp:lastModifiedBy>Tracey, Shawn (ASD-W)</cp:lastModifiedBy>
  <dcterms:created xsi:type="dcterms:W3CDTF">2026-06-16T13:31:25Z</dcterms:created>
  <dcterms:modified xsi:type="dcterms:W3CDTF">2026-06-16T13:35:53Z</dcterms:modified>
</cp:coreProperties>
</file>