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bed-my.sharepoint.com/personal/shawn_tracey_nbed_nb_ca/Documents/_migrated_Aug_9-2023/Yr 2025-2026/Budget/4th Quarter/"/>
    </mc:Choice>
  </mc:AlternateContent>
  <xr:revisionPtr revIDLastSave="39" documentId="8_{C3FF68BA-C590-463A-8F2A-4F494A321798}" xr6:coauthVersionLast="47" xr6:coauthVersionMax="47" xr10:uidLastSave="{6AEEA6A4-1F62-4E8B-9D8D-685058B273BC}"/>
  <bookViews>
    <workbookView xWindow="-98" yWindow="-98" windowWidth="19396" windowHeight="11475" xr2:uid="{4AB6019F-8FF3-4838-BC1A-08547CF15B15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55" i="1" l="1"/>
  <c r="K166" i="1"/>
  <c r="P166" i="1"/>
  <c r="S164" i="1" l="1"/>
  <c r="N164" i="1"/>
  <c r="P164" i="1" s="1"/>
  <c r="V164" i="1" s="1"/>
  <c r="I164" i="1"/>
  <c r="J164" i="1" s="1"/>
  <c r="H164" i="1"/>
  <c r="AD162" i="1"/>
  <c r="O162" i="1"/>
  <c r="M162" i="1"/>
  <c r="L162" i="1"/>
  <c r="K162" i="1"/>
  <c r="I162" i="1"/>
  <c r="H162" i="1"/>
  <c r="F162" i="1"/>
  <c r="E162" i="1"/>
  <c r="N161" i="1"/>
  <c r="P161" i="1" s="1"/>
  <c r="J161" i="1"/>
  <c r="Z160" i="1"/>
  <c r="AA160" i="1" s="1"/>
  <c r="AB160" i="1" s="1"/>
  <c r="Q160" i="1"/>
  <c r="Q162" i="1" s="1"/>
  <c r="N160" i="1"/>
  <c r="P160" i="1" s="1"/>
  <c r="M160" i="1"/>
  <c r="J160" i="1"/>
  <c r="Z159" i="1"/>
  <c r="Z162" i="1" s="1"/>
  <c r="N159" i="1"/>
  <c r="P159" i="1" s="1"/>
  <c r="R159" i="1" s="1"/>
  <c r="J159" i="1"/>
  <c r="J162" i="1" s="1"/>
  <c r="G159" i="1"/>
  <c r="G162" i="1" s="1"/>
  <c r="AH155" i="1"/>
  <c r="AD155" i="1"/>
  <c r="L155" i="1"/>
  <c r="K155" i="1"/>
  <c r="G155" i="1"/>
  <c r="F155" i="1"/>
  <c r="E155" i="1"/>
  <c r="Z154" i="1"/>
  <c r="AA154" i="1" s="1"/>
  <c r="AB154" i="1" s="1"/>
  <c r="M154" i="1"/>
  <c r="N154" i="1" s="1"/>
  <c r="P154" i="1" s="1"/>
  <c r="J154" i="1"/>
  <c r="Z153" i="1"/>
  <c r="AA153" i="1" s="1"/>
  <c r="AB153" i="1" s="1"/>
  <c r="Q153" i="1"/>
  <c r="N153" i="1"/>
  <c r="P153" i="1" s="1"/>
  <c r="J153" i="1"/>
  <c r="H153" i="1"/>
  <c r="H155" i="1" s="1"/>
  <c r="AA152" i="1"/>
  <c r="AB152" i="1" s="1"/>
  <c r="Z152" i="1"/>
  <c r="Q152" i="1"/>
  <c r="N152" i="1"/>
  <c r="P152" i="1" s="1"/>
  <c r="J152" i="1"/>
  <c r="Z151" i="1"/>
  <c r="AA151" i="1" s="1"/>
  <c r="AB151" i="1" s="1"/>
  <c r="N151" i="1"/>
  <c r="P151" i="1" s="1"/>
  <c r="R151" i="1" s="1"/>
  <c r="S151" i="1" s="1"/>
  <c r="J151" i="1"/>
  <c r="Z150" i="1"/>
  <c r="AA150" i="1" s="1"/>
  <c r="AB150" i="1" s="1"/>
  <c r="N150" i="1"/>
  <c r="P150" i="1" s="1"/>
  <c r="J150" i="1"/>
  <c r="Z149" i="1"/>
  <c r="AA149" i="1" s="1"/>
  <c r="AB149" i="1" s="1"/>
  <c r="R149" i="1"/>
  <c r="S149" i="1" s="1"/>
  <c r="AE149" i="1" s="1"/>
  <c r="AF149" i="1" s="1"/>
  <c r="Q149" i="1"/>
  <c r="N149" i="1"/>
  <c r="P149" i="1" s="1"/>
  <c r="J149" i="1"/>
  <c r="AA148" i="1"/>
  <c r="AB148" i="1" s="1"/>
  <c r="Z148" i="1"/>
  <c r="Q148" i="1"/>
  <c r="R148" i="1" s="1"/>
  <c r="S148" i="1" s="1"/>
  <c r="O148" i="1"/>
  <c r="N148" i="1"/>
  <c r="P148" i="1" s="1"/>
  <c r="J148" i="1"/>
  <c r="AA147" i="1"/>
  <c r="AB147" i="1" s="1"/>
  <c r="Z147" i="1"/>
  <c r="S147" i="1"/>
  <c r="R147" i="1"/>
  <c r="O147" i="1"/>
  <c r="N147" i="1"/>
  <c r="P147" i="1" s="1"/>
  <c r="J147" i="1"/>
  <c r="Z146" i="1"/>
  <c r="AA146" i="1" s="1"/>
  <c r="AB146" i="1" s="1"/>
  <c r="O146" i="1"/>
  <c r="P146" i="1" s="1"/>
  <c r="R146" i="1" s="1"/>
  <c r="S146" i="1" s="1"/>
  <c r="N146" i="1"/>
  <c r="I146" i="1"/>
  <c r="I155" i="1" s="1"/>
  <c r="AF145" i="1"/>
  <c r="AA145" i="1"/>
  <c r="AB145" i="1" s="1"/>
  <c r="Z145" i="1"/>
  <c r="S145" i="1"/>
  <c r="AE145" i="1" s="1"/>
  <c r="N145" i="1"/>
  <c r="P145" i="1" s="1"/>
  <c r="V145" i="1" s="1"/>
  <c r="W145" i="1" s="1"/>
  <c r="J145" i="1"/>
  <c r="AA144" i="1"/>
  <c r="AB144" i="1" s="1"/>
  <c r="Z144" i="1"/>
  <c r="S144" i="1"/>
  <c r="N144" i="1"/>
  <c r="P144" i="1" s="1"/>
  <c r="J144" i="1"/>
  <c r="Z143" i="1"/>
  <c r="AA143" i="1" s="1"/>
  <c r="AB143" i="1" s="1"/>
  <c r="R143" i="1"/>
  <c r="S143" i="1" s="1"/>
  <c r="Q143" i="1"/>
  <c r="N143" i="1"/>
  <c r="P143" i="1" s="1"/>
  <c r="J143" i="1"/>
  <c r="AI142" i="1"/>
  <c r="AJ142" i="1" s="1"/>
  <c r="AE142" i="1"/>
  <c r="AF142" i="1" s="1"/>
  <c r="Z142" i="1"/>
  <c r="AA142" i="1" s="1"/>
  <c r="AB142" i="1" s="1"/>
  <c r="S142" i="1"/>
  <c r="U142" i="1" s="1"/>
  <c r="N142" i="1"/>
  <c r="P142" i="1" s="1"/>
  <c r="V142" i="1" s="1"/>
  <c r="W142" i="1" s="1"/>
  <c r="J142" i="1"/>
  <c r="Z141" i="1"/>
  <c r="R141" i="1"/>
  <c r="S141" i="1" s="1"/>
  <c r="AE141" i="1" s="1"/>
  <c r="AF141" i="1" s="1"/>
  <c r="Q141" i="1"/>
  <c r="O141" i="1"/>
  <c r="N141" i="1"/>
  <c r="J141" i="1"/>
  <c r="Z140" i="1"/>
  <c r="Q140" i="1"/>
  <c r="N140" i="1"/>
  <c r="P140" i="1" s="1"/>
  <c r="R140" i="1" s="1"/>
  <c r="S140" i="1" s="1"/>
  <c r="U140" i="1" s="1"/>
  <c r="J140" i="1"/>
  <c r="S139" i="1"/>
  <c r="T139" i="1" s="1"/>
  <c r="N139" i="1"/>
  <c r="P139" i="1" s="1"/>
  <c r="V139" i="1" s="1"/>
  <c r="W139" i="1" s="1"/>
  <c r="J139" i="1"/>
  <c r="Z138" i="1"/>
  <c r="N138" i="1"/>
  <c r="J138" i="1"/>
  <c r="AD132" i="1"/>
  <c r="Z132" i="1"/>
  <c r="Q132" i="1"/>
  <c r="O132" i="1"/>
  <c r="M132" i="1"/>
  <c r="M134" i="1" s="1"/>
  <c r="L132" i="1"/>
  <c r="K132" i="1"/>
  <c r="I132" i="1"/>
  <c r="H132" i="1"/>
  <c r="E132" i="1"/>
  <c r="Q131" i="1"/>
  <c r="N131" i="1"/>
  <c r="P131" i="1" s="1"/>
  <c r="R131" i="1" s="1"/>
  <c r="J131" i="1"/>
  <c r="Z130" i="1"/>
  <c r="AA130" i="1" s="1"/>
  <c r="AB130" i="1" s="1"/>
  <c r="S130" i="1"/>
  <c r="R130" i="1"/>
  <c r="N130" i="1"/>
  <c r="P130" i="1" s="1"/>
  <c r="L130" i="1"/>
  <c r="J130" i="1"/>
  <c r="I130" i="1"/>
  <c r="H130" i="1"/>
  <c r="Z129" i="1"/>
  <c r="AA129" i="1" s="1"/>
  <c r="AB129" i="1" s="1"/>
  <c r="R129" i="1"/>
  <c r="Q129" i="1"/>
  <c r="N129" i="1"/>
  <c r="P129" i="1" s="1"/>
  <c r="J129" i="1"/>
  <c r="P128" i="1"/>
  <c r="AA127" i="1"/>
  <c r="Z127" i="1"/>
  <c r="R127" i="1"/>
  <c r="N127" i="1"/>
  <c r="M127" i="1"/>
  <c r="L127" i="1"/>
  <c r="J127" i="1"/>
  <c r="H127" i="1"/>
  <c r="F127" i="1"/>
  <c r="G127" i="1" s="1"/>
  <c r="G132" i="1" s="1"/>
  <c r="AD124" i="1"/>
  <c r="Q124" i="1"/>
  <c r="M124" i="1"/>
  <c r="L124" i="1"/>
  <c r="K124" i="1"/>
  <c r="K134" i="1" s="1"/>
  <c r="H124" i="1"/>
  <c r="G124" i="1"/>
  <c r="F124" i="1"/>
  <c r="E124" i="1"/>
  <c r="AA123" i="1"/>
  <c r="AB123" i="1" s="1"/>
  <c r="Z123" i="1"/>
  <c r="O123" i="1"/>
  <c r="N123" i="1"/>
  <c r="I123" i="1"/>
  <c r="Z122" i="1"/>
  <c r="N122" i="1"/>
  <c r="P122" i="1" s="1"/>
  <c r="R122" i="1" s="1"/>
  <c r="S122" i="1" s="1"/>
  <c r="J122" i="1"/>
  <c r="AD116" i="1"/>
  <c r="Z116" i="1"/>
  <c r="Q116" i="1"/>
  <c r="O116" i="1"/>
  <c r="M116" i="1"/>
  <c r="L116" i="1"/>
  <c r="K116" i="1"/>
  <c r="I116" i="1"/>
  <c r="E116" i="1"/>
  <c r="AA115" i="1"/>
  <c r="AB115" i="1" s="1"/>
  <c r="Z115" i="1"/>
  <c r="R115" i="1"/>
  <c r="S115" i="1" s="1"/>
  <c r="AI115" i="1" s="1"/>
  <c r="AJ115" i="1" s="1"/>
  <c r="P115" i="1"/>
  <c r="N115" i="1"/>
  <c r="J115" i="1"/>
  <c r="AB114" i="1"/>
  <c r="Z114" i="1"/>
  <c r="AA114" i="1" s="1"/>
  <c r="R114" i="1"/>
  <c r="S114" i="1" s="1"/>
  <c r="N114" i="1"/>
  <c r="P114" i="1" s="1"/>
  <c r="V114" i="1" s="1"/>
  <c r="W114" i="1" s="1"/>
  <c r="H114" i="1"/>
  <c r="J114" i="1" s="1"/>
  <c r="Z113" i="1"/>
  <c r="AA113" i="1" s="1"/>
  <c r="AB113" i="1" s="1"/>
  <c r="S113" i="1"/>
  <c r="R113" i="1"/>
  <c r="N113" i="1"/>
  <c r="P113" i="1" s="1"/>
  <c r="J113" i="1"/>
  <c r="Z112" i="1"/>
  <c r="AA112" i="1" s="1"/>
  <c r="AB112" i="1" s="1"/>
  <c r="R112" i="1"/>
  <c r="S112" i="1" s="1"/>
  <c r="AE112" i="1" s="1"/>
  <c r="AF112" i="1" s="1"/>
  <c r="N112" i="1"/>
  <c r="P112" i="1" s="1"/>
  <c r="J112" i="1"/>
  <c r="AA111" i="1"/>
  <c r="AB111" i="1" s="1"/>
  <c r="R111" i="1"/>
  <c r="S111" i="1" s="1"/>
  <c r="U111" i="1" s="1"/>
  <c r="P111" i="1"/>
  <c r="V111" i="1" s="1"/>
  <c r="W111" i="1" s="1"/>
  <c r="N111" i="1"/>
  <c r="J111" i="1"/>
  <c r="AE110" i="1"/>
  <c r="AF110" i="1" s="1"/>
  <c r="AA110" i="1"/>
  <c r="AB110" i="1" s="1"/>
  <c r="Z110" i="1"/>
  <c r="V110" i="1"/>
  <c r="W110" i="1" s="1"/>
  <c r="R110" i="1"/>
  <c r="S110" i="1" s="1"/>
  <c r="N110" i="1"/>
  <c r="P110" i="1" s="1"/>
  <c r="J110" i="1"/>
  <c r="P109" i="1"/>
  <c r="F109" i="1"/>
  <c r="F116" i="1" s="1"/>
  <c r="AA108" i="1"/>
  <c r="Z108" i="1"/>
  <c r="R108" i="1"/>
  <c r="S108" i="1" s="1"/>
  <c r="O108" i="1"/>
  <c r="N108" i="1"/>
  <c r="N116" i="1" s="1"/>
  <c r="H108" i="1"/>
  <c r="J108" i="1" s="1"/>
  <c r="G108" i="1"/>
  <c r="AD104" i="1"/>
  <c r="Q104" i="1"/>
  <c r="M104" i="1"/>
  <c r="L104" i="1"/>
  <c r="K104" i="1"/>
  <c r="I104" i="1"/>
  <c r="E104" i="1"/>
  <c r="Z103" i="1"/>
  <c r="AA103" i="1" s="1"/>
  <c r="AB103" i="1" s="1"/>
  <c r="N103" i="1"/>
  <c r="P103" i="1" s="1"/>
  <c r="R103" i="1" s="1"/>
  <c r="J103" i="1"/>
  <c r="AE102" i="1"/>
  <c r="AF102" i="1" s="1"/>
  <c r="Z102" i="1"/>
  <c r="AA102" i="1" s="1"/>
  <c r="AB102" i="1" s="1"/>
  <c r="S102" i="1"/>
  <c r="R102" i="1"/>
  <c r="N102" i="1"/>
  <c r="P102" i="1" s="1"/>
  <c r="V102" i="1" s="1"/>
  <c r="W102" i="1" s="1"/>
  <c r="J102" i="1"/>
  <c r="Z101" i="1"/>
  <c r="AA101" i="1" s="1"/>
  <c r="AB101" i="1" s="1"/>
  <c r="S101" i="1"/>
  <c r="R101" i="1"/>
  <c r="N101" i="1"/>
  <c r="P101" i="1" s="1"/>
  <c r="J101" i="1"/>
  <c r="R100" i="1"/>
  <c r="S100" i="1" s="1"/>
  <c r="N100" i="1"/>
  <c r="P100" i="1" s="1"/>
  <c r="V100" i="1" s="1"/>
  <c r="J100" i="1"/>
  <c r="S99" i="1"/>
  <c r="N99" i="1"/>
  <c r="P99" i="1" s="1"/>
  <c r="J99" i="1"/>
  <c r="AB98" i="1"/>
  <c r="AA98" i="1"/>
  <c r="Z98" i="1"/>
  <c r="S98" i="1"/>
  <c r="V98" i="1" s="1"/>
  <c r="W98" i="1" s="1"/>
  <c r="R98" i="1"/>
  <c r="P98" i="1"/>
  <c r="N98" i="1"/>
  <c r="J98" i="1"/>
  <c r="AB97" i="1"/>
  <c r="Z97" i="1"/>
  <c r="AA97" i="1" s="1"/>
  <c r="U97" i="1"/>
  <c r="R97" i="1"/>
  <c r="S97" i="1" s="1"/>
  <c r="N97" i="1"/>
  <c r="P97" i="1" s="1"/>
  <c r="V97" i="1" s="1"/>
  <c r="W97" i="1" s="1"/>
  <c r="J97" i="1"/>
  <c r="AE96" i="1"/>
  <c r="AF96" i="1" s="1"/>
  <c r="AA96" i="1"/>
  <c r="AB96" i="1" s="1"/>
  <c r="Z96" i="1"/>
  <c r="R96" i="1"/>
  <c r="S96" i="1" s="1"/>
  <c r="N96" i="1"/>
  <c r="P96" i="1" s="1"/>
  <c r="V96" i="1" s="1"/>
  <c r="W96" i="1" s="1"/>
  <c r="J96" i="1"/>
  <c r="AA95" i="1"/>
  <c r="AB95" i="1" s="1"/>
  <c r="S95" i="1"/>
  <c r="T95" i="1" s="1"/>
  <c r="P95" i="1"/>
  <c r="N95" i="1"/>
  <c r="J95" i="1"/>
  <c r="Z94" i="1"/>
  <c r="AA94" i="1" s="1"/>
  <c r="AB94" i="1" s="1"/>
  <c r="U94" i="1"/>
  <c r="S94" i="1"/>
  <c r="R94" i="1"/>
  <c r="N94" i="1"/>
  <c r="P94" i="1" s="1"/>
  <c r="V94" i="1" s="1"/>
  <c r="W94" i="1" s="1"/>
  <c r="J94" i="1"/>
  <c r="H94" i="1"/>
  <c r="AI93" i="1"/>
  <c r="AJ93" i="1" s="1"/>
  <c r="AE93" i="1"/>
  <c r="AF93" i="1" s="1"/>
  <c r="Z93" i="1"/>
  <c r="AA93" i="1" s="1"/>
  <c r="AB93" i="1" s="1"/>
  <c r="S93" i="1"/>
  <c r="U93" i="1" s="1"/>
  <c r="N93" i="1"/>
  <c r="P93" i="1" s="1"/>
  <c r="V93" i="1" s="1"/>
  <c r="W93" i="1" s="1"/>
  <c r="J93" i="1"/>
  <c r="Z92" i="1"/>
  <c r="AA92" i="1" s="1"/>
  <c r="AB92" i="1" s="1"/>
  <c r="R92" i="1"/>
  <c r="S92" i="1" s="1"/>
  <c r="U92" i="1" s="1"/>
  <c r="P92" i="1"/>
  <c r="N92" i="1"/>
  <c r="J92" i="1"/>
  <c r="Z91" i="1"/>
  <c r="AA91" i="1" s="1"/>
  <c r="AB91" i="1" s="1"/>
  <c r="S91" i="1"/>
  <c r="N91" i="1"/>
  <c r="P91" i="1" s="1"/>
  <c r="J91" i="1"/>
  <c r="S90" i="1"/>
  <c r="T90" i="1" s="1"/>
  <c r="N90" i="1"/>
  <c r="P90" i="1" s="1"/>
  <c r="V90" i="1" s="1"/>
  <c r="J90" i="1"/>
  <c r="AA89" i="1"/>
  <c r="AB89" i="1" s="1"/>
  <c r="Z89" i="1"/>
  <c r="R89" i="1"/>
  <c r="S89" i="1" s="1"/>
  <c r="U89" i="1" s="1"/>
  <c r="N89" i="1"/>
  <c r="P89" i="1" s="1"/>
  <c r="V89" i="1" s="1"/>
  <c r="W89" i="1" s="1"/>
  <c r="J89" i="1"/>
  <c r="AA88" i="1"/>
  <c r="AB88" i="1" s="1"/>
  <c r="Z88" i="1"/>
  <c r="R88" i="1"/>
  <c r="S88" i="1" s="1"/>
  <c r="AI88" i="1" s="1"/>
  <c r="AJ88" i="1" s="1"/>
  <c r="N88" i="1"/>
  <c r="P88" i="1" s="1"/>
  <c r="V88" i="1" s="1"/>
  <c r="W88" i="1" s="1"/>
  <c r="J88" i="1"/>
  <c r="AA87" i="1"/>
  <c r="AB87" i="1" s="1"/>
  <c r="S87" i="1"/>
  <c r="AI87" i="1" s="1"/>
  <c r="AJ87" i="1" s="1"/>
  <c r="N87" i="1"/>
  <c r="P87" i="1" s="1"/>
  <c r="J87" i="1"/>
  <c r="AB86" i="1"/>
  <c r="Z86" i="1"/>
  <c r="AA86" i="1" s="1"/>
  <c r="R86" i="1"/>
  <c r="S86" i="1" s="1"/>
  <c r="N86" i="1"/>
  <c r="P86" i="1" s="1"/>
  <c r="J86" i="1"/>
  <c r="Z85" i="1"/>
  <c r="AA85" i="1" s="1"/>
  <c r="AB85" i="1" s="1"/>
  <c r="R85" i="1"/>
  <c r="S85" i="1" s="1"/>
  <c r="AE85" i="1" s="1"/>
  <c r="AF85" i="1" s="1"/>
  <c r="N85" i="1"/>
  <c r="P85" i="1" s="1"/>
  <c r="J85" i="1"/>
  <c r="Z84" i="1"/>
  <c r="AA84" i="1" s="1"/>
  <c r="AB84" i="1" s="1"/>
  <c r="S84" i="1"/>
  <c r="R84" i="1"/>
  <c r="N84" i="1"/>
  <c r="P84" i="1" s="1"/>
  <c r="J84" i="1"/>
  <c r="H84" i="1"/>
  <c r="Z83" i="1"/>
  <c r="AA83" i="1" s="1"/>
  <c r="AB83" i="1" s="1"/>
  <c r="R83" i="1"/>
  <c r="S83" i="1" s="1"/>
  <c r="U83" i="1" s="1"/>
  <c r="P83" i="1"/>
  <c r="V83" i="1" s="1"/>
  <c r="W83" i="1" s="1"/>
  <c r="N83" i="1"/>
  <c r="J83" i="1"/>
  <c r="Z82" i="1"/>
  <c r="AA82" i="1" s="1"/>
  <c r="AB82" i="1" s="1"/>
  <c r="S82" i="1"/>
  <c r="N82" i="1"/>
  <c r="P82" i="1" s="1"/>
  <c r="V82" i="1" s="1"/>
  <c r="W82" i="1" s="1"/>
  <c r="J82" i="1"/>
  <c r="Z81" i="1"/>
  <c r="AA81" i="1" s="1"/>
  <c r="AB81" i="1" s="1"/>
  <c r="V81" i="1"/>
  <c r="W81" i="1" s="1"/>
  <c r="R81" i="1"/>
  <c r="S81" i="1" s="1"/>
  <c r="N81" i="1"/>
  <c r="P81" i="1" s="1"/>
  <c r="J81" i="1"/>
  <c r="P80" i="1"/>
  <c r="F80" i="1"/>
  <c r="AA79" i="1"/>
  <c r="AB79" i="1" s="1"/>
  <c r="Z79" i="1"/>
  <c r="S79" i="1"/>
  <c r="AI79" i="1" s="1"/>
  <c r="R79" i="1"/>
  <c r="P79" i="1"/>
  <c r="O79" i="1"/>
  <c r="O104" i="1" s="1"/>
  <c r="N79" i="1"/>
  <c r="H79" i="1"/>
  <c r="F79" i="1"/>
  <c r="G79" i="1" s="1"/>
  <c r="G104" i="1" s="1"/>
  <c r="AD75" i="1"/>
  <c r="Z75" i="1"/>
  <c r="Q75" i="1"/>
  <c r="O75" i="1"/>
  <c r="M75" i="1"/>
  <c r="L75" i="1"/>
  <c r="K75" i="1"/>
  <c r="I75" i="1"/>
  <c r="H75" i="1"/>
  <c r="G75" i="1"/>
  <c r="F75" i="1"/>
  <c r="E75" i="1"/>
  <c r="Z74" i="1"/>
  <c r="AA74" i="1" s="1"/>
  <c r="AB74" i="1" s="1"/>
  <c r="N74" i="1"/>
  <c r="P74" i="1" s="1"/>
  <c r="J74" i="1"/>
  <c r="N73" i="1"/>
  <c r="P73" i="1" s="1"/>
  <c r="J73" i="1"/>
  <c r="AA72" i="1"/>
  <c r="Z72" i="1"/>
  <c r="N72" i="1"/>
  <c r="P72" i="1" s="1"/>
  <c r="R72" i="1" s="1"/>
  <c r="S72" i="1" s="1"/>
  <c r="J72" i="1"/>
  <c r="AD68" i="1"/>
  <c r="O68" i="1"/>
  <c r="M68" i="1"/>
  <c r="L68" i="1"/>
  <c r="K68" i="1"/>
  <c r="I68" i="1"/>
  <c r="H68" i="1"/>
  <c r="E68" i="1"/>
  <c r="Z67" i="1"/>
  <c r="AA67" i="1" s="1"/>
  <c r="AB67" i="1" s="1"/>
  <c r="U67" i="1"/>
  <c r="T67" i="1"/>
  <c r="S67" i="1"/>
  <c r="AI67" i="1" s="1"/>
  <c r="AJ67" i="1" s="1"/>
  <c r="N67" i="1"/>
  <c r="P67" i="1" s="1"/>
  <c r="J67" i="1"/>
  <c r="Z66" i="1"/>
  <c r="Q66" i="1"/>
  <c r="N66" i="1"/>
  <c r="P66" i="1" s="1"/>
  <c r="M66" i="1"/>
  <c r="J66" i="1"/>
  <c r="Z65" i="1"/>
  <c r="AA65" i="1" s="1"/>
  <c r="AB65" i="1" s="1"/>
  <c r="N65" i="1"/>
  <c r="P65" i="1" s="1"/>
  <c r="R65" i="1" s="1"/>
  <c r="S65" i="1" s="1"/>
  <c r="J65" i="1"/>
  <c r="Z64" i="1"/>
  <c r="AA64" i="1" s="1"/>
  <c r="AB64" i="1" s="1"/>
  <c r="N64" i="1"/>
  <c r="P64" i="1" s="1"/>
  <c r="M64" i="1"/>
  <c r="J64" i="1"/>
  <c r="Z63" i="1"/>
  <c r="AA63" i="1" s="1"/>
  <c r="AB63" i="1" s="1"/>
  <c r="R63" i="1"/>
  <c r="S63" i="1" s="1"/>
  <c r="N63" i="1"/>
  <c r="P63" i="1" s="1"/>
  <c r="J63" i="1"/>
  <c r="AJ62" i="1"/>
  <c r="AF62" i="1"/>
  <c r="AB62" i="1"/>
  <c r="Z62" i="1"/>
  <c r="S62" i="1"/>
  <c r="T62" i="1" s="1"/>
  <c r="R62" i="1"/>
  <c r="N62" i="1"/>
  <c r="P62" i="1" s="1"/>
  <c r="J62" i="1"/>
  <c r="Z61" i="1"/>
  <c r="AA61" i="1" s="1"/>
  <c r="AB61" i="1" s="1"/>
  <c r="N61" i="1"/>
  <c r="P61" i="1" s="1"/>
  <c r="R61" i="1" s="1"/>
  <c r="J61" i="1"/>
  <c r="P60" i="1"/>
  <c r="G60" i="1"/>
  <c r="G68" i="1" s="1"/>
  <c r="F60" i="1"/>
  <c r="F68" i="1" s="1"/>
  <c r="Z59" i="1"/>
  <c r="AA59" i="1" s="1"/>
  <c r="R59" i="1"/>
  <c r="S59" i="1" s="1"/>
  <c r="N59" i="1"/>
  <c r="J59" i="1"/>
  <c r="G59" i="1"/>
  <c r="AD55" i="1"/>
  <c r="O55" i="1"/>
  <c r="K55" i="1"/>
  <c r="I55" i="1"/>
  <c r="E55" i="1"/>
  <c r="Z54" i="1"/>
  <c r="Q54" i="1"/>
  <c r="M54" i="1"/>
  <c r="N54" i="1" s="1"/>
  <c r="P54" i="1" s="1"/>
  <c r="J54" i="1"/>
  <c r="Z53" i="1"/>
  <c r="AA53" i="1" s="1"/>
  <c r="AB53" i="1" s="1"/>
  <c r="N53" i="1"/>
  <c r="P53" i="1" s="1"/>
  <c r="M53" i="1"/>
  <c r="M55" i="1" s="1"/>
  <c r="J53" i="1"/>
  <c r="Z52" i="1"/>
  <c r="N52" i="1"/>
  <c r="P52" i="1" s="1"/>
  <c r="R52" i="1" s="1"/>
  <c r="S52" i="1" s="1"/>
  <c r="J52" i="1"/>
  <c r="Z51" i="1"/>
  <c r="AA51" i="1" s="1"/>
  <c r="AB51" i="1" s="1"/>
  <c r="S51" i="1"/>
  <c r="T51" i="1" s="1"/>
  <c r="R51" i="1"/>
  <c r="N51" i="1"/>
  <c r="P51" i="1" s="1"/>
  <c r="V51" i="1" s="1"/>
  <c r="W51" i="1" s="1"/>
  <c r="J51" i="1"/>
  <c r="AA50" i="1"/>
  <c r="AB50" i="1" s="1"/>
  <c r="Z50" i="1"/>
  <c r="R50" i="1"/>
  <c r="S50" i="1" s="1"/>
  <c r="N50" i="1"/>
  <c r="P50" i="1" s="1"/>
  <c r="J50" i="1"/>
  <c r="N49" i="1"/>
  <c r="F49" i="1"/>
  <c r="G49" i="1" s="1"/>
  <c r="AA48" i="1"/>
  <c r="AB48" i="1" s="1"/>
  <c r="Z48" i="1"/>
  <c r="R48" i="1"/>
  <c r="S48" i="1" s="1"/>
  <c r="U48" i="1" s="1"/>
  <c r="N48" i="1"/>
  <c r="P48" i="1" s="1"/>
  <c r="V48" i="1" s="1"/>
  <c r="W48" i="1" s="1"/>
  <c r="H48" i="1"/>
  <c r="G48" i="1"/>
  <c r="Z47" i="1"/>
  <c r="AA47" i="1" s="1"/>
  <c r="AB47" i="1" s="1"/>
  <c r="N47" i="1"/>
  <c r="P47" i="1" s="1"/>
  <c r="J47" i="1"/>
  <c r="N46" i="1"/>
  <c r="F46" i="1"/>
  <c r="G46" i="1" s="1"/>
  <c r="Z45" i="1"/>
  <c r="AA45" i="1" s="1"/>
  <c r="AB45" i="1" s="1"/>
  <c r="S45" i="1"/>
  <c r="T45" i="1" s="1"/>
  <c r="R45" i="1"/>
  <c r="L45" i="1"/>
  <c r="J45" i="1"/>
  <c r="F45" i="1"/>
  <c r="G45" i="1" s="1"/>
  <c r="Z44" i="1"/>
  <c r="AA44" i="1" s="1"/>
  <c r="AB44" i="1" s="1"/>
  <c r="N44" i="1"/>
  <c r="P44" i="1" s="1"/>
  <c r="J44" i="1"/>
  <c r="AA43" i="1"/>
  <c r="AB43" i="1" s="1"/>
  <c r="Z43" i="1"/>
  <c r="R43" i="1"/>
  <c r="S43" i="1" s="1"/>
  <c r="U43" i="1" s="1"/>
  <c r="N43" i="1"/>
  <c r="P43" i="1" s="1"/>
  <c r="V43" i="1" s="1"/>
  <c r="W43" i="1" s="1"/>
  <c r="J43" i="1"/>
  <c r="AA42" i="1"/>
  <c r="AB42" i="1" s="1"/>
  <c r="Z42" i="1"/>
  <c r="R42" i="1"/>
  <c r="S42" i="1" s="1"/>
  <c r="AI42" i="1" s="1"/>
  <c r="AJ42" i="1" s="1"/>
  <c r="P42" i="1"/>
  <c r="N42" i="1"/>
  <c r="J42" i="1"/>
  <c r="F41" i="1"/>
  <c r="Z40" i="1"/>
  <c r="S40" i="1"/>
  <c r="R40" i="1"/>
  <c r="N40" i="1"/>
  <c r="P40" i="1" s="1"/>
  <c r="J40" i="1"/>
  <c r="G40" i="1"/>
  <c r="AD36" i="1"/>
  <c r="Q36" i="1"/>
  <c r="O36" i="1"/>
  <c r="M36" i="1"/>
  <c r="L36" i="1"/>
  <c r="K36" i="1"/>
  <c r="I36" i="1"/>
  <c r="E36" i="1"/>
  <c r="Z35" i="1"/>
  <c r="AA35" i="1" s="1"/>
  <c r="AB35" i="1" s="1"/>
  <c r="S35" i="1"/>
  <c r="R35" i="1"/>
  <c r="N35" i="1"/>
  <c r="P35" i="1" s="1"/>
  <c r="J35" i="1"/>
  <c r="N34" i="1"/>
  <c r="F34" i="1"/>
  <c r="G34" i="1" s="1"/>
  <c r="Z33" i="1"/>
  <c r="AA33" i="1" s="1"/>
  <c r="AB33" i="1" s="1"/>
  <c r="U33" i="1"/>
  <c r="S33" i="1"/>
  <c r="T33" i="1" s="1"/>
  <c r="R33" i="1"/>
  <c r="N33" i="1"/>
  <c r="P33" i="1" s="1"/>
  <c r="V33" i="1" s="1"/>
  <c r="W33" i="1" s="1"/>
  <c r="J33" i="1"/>
  <c r="H33" i="1"/>
  <c r="H36" i="1" s="1"/>
  <c r="F33" i="1"/>
  <c r="G33" i="1" s="1"/>
  <c r="Z32" i="1"/>
  <c r="AA32" i="1" s="1"/>
  <c r="AB32" i="1" s="1"/>
  <c r="N32" i="1"/>
  <c r="P32" i="1" s="1"/>
  <c r="J32" i="1"/>
  <c r="AA31" i="1"/>
  <c r="AB31" i="1" s="1"/>
  <c r="Z31" i="1"/>
  <c r="N31" i="1"/>
  <c r="P31" i="1" s="1"/>
  <c r="J31" i="1"/>
  <c r="Z30" i="1"/>
  <c r="AA30" i="1" s="1"/>
  <c r="AB30" i="1" s="1"/>
  <c r="R30" i="1"/>
  <c r="S30" i="1" s="1"/>
  <c r="AI30" i="1" s="1"/>
  <c r="AJ30" i="1" s="1"/>
  <c r="N30" i="1"/>
  <c r="P30" i="1" s="1"/>
  <c r="J30" i="1"/>
  <c r="AI29" i="1"/>
  <c r="AJ29" i="1" s="1"/>
  <c r="Z29" i="1"/>
  <c r="AA29" i="1" s="1"/>
  <c r="AB29" i="1" s="1"/>
  <c r="R29" i="1"/>
  <c r="S29" i="1" s="1"/>
  <c r="N29" i="1"/>
  <c r="P29" i="1" s="1"/>
  <c r="V29" i="1" s="1"/>
  <c r="W29" i="1" s="1"/>
  <c r="J29" i="1"/>
  <c r="N28" i="1"/>
  <c r="AI27" i="1"/>
  <c r="AJ27" i="1" s="1"/>
  <c r="Z27" i="1"/>
  <c r="AA27" i="1" s="1"/>
  <c r="AB27" i="1" s="1"/>
  <c r="U27" i="1"/>
  <c r="S27" i="1"/>
  <c r="T27" i="1" s="1"/>
  <c r="R27" i="1"/>
  <c r="N27" i="1"/>
  <c r="P27" i="1" s="1"/>
  <c r="V27" i="1" s="1"/>
  <c r="W27" i="1" s="1"/>
  <c r="I27" i="1"/>
  <c r="J27" i="1" s="1"/>
  <c r="H27" i="1"/>
  <c r="F27" i="1"/>
  <c r="F28" i="1" s="1"/>
  <c r="G28" i="1" s="1"/>
  <c r="G36" i="1" s="1"/>
  <c r="Z26" i="1"/>
  <c r="AA26" i="1" s="1"/>
  <c r="Q26" i="1"/>
  <c r="N26" i="1"/>
  <c r="M26" i="1"/>
  <c r="J26" i="1"/>
  <c r="AD22" i="1"/>
  <c r="O22" i="1"/>
  <c r="M22" i="1"/>
  <c r="L22" i="1"/>
  <c r="K22" i="1"/>
  <c r="H22" i="1"/>
  <c r="F22" i="1"/>
  <c r="E22" i="1"/>
  <c r="AA21" i="1"/>
  <c r="AB21" i="1" s="1"/>
  <c r="Z21" i="1"/>
  <c r="N21" i="1"/>
  <c r="P21" i="1" s="1"/>
  <c r="J21" i="1"/>
  <c r="AB20" i="1"/>
  <c r="Z20" i="1"/>
  <c r="AA20" i="1" s="1"/>
  <c r="N20" i="1"/>
  <c r="P20" i="1" s="1"/>
  <c r="J20" i="1"/>
  <c r="AA19" i="1"/>
  <c r="AB19" i="1" s="1"/>
  <c r="Z19" i="1"/>
  <c r="R19" i="1"/>
  <c r="S19" i="1" s="1"/>
  <c r="N19" i="1"/>
  <c r="P19" i="1" s="1"/>
  <c r="J19" i="1"/>
  <c r="AA18" i="1"/>
  <c r="AB18" i="1" s="1"/>
  <c r="Z18" i="1"/>
  <c r="Q18" i="1"/>
  <c r="N18" i="1"/>
  <c r="P18" i="1" s="1"/>
  <c r="J18" i="1"/>
  <c r="R17" i="1"/>
  <c r="S17" i="1" s="1"/>
  <c r="U17" i="1" s="1"/>
  <c r="N17" i="1"/>
  <c r="P17" i="1" s="1"/>
  <c r="V17" i="1" s="1"/>
  <c r="W17" i="1" s="1"/>
  <c r="J17" i="1"/>
  <c r="H17" i="1"/>
  <c r="AA16" i="1"/>
  <c r="AB16" i="1" s="1"/>
  <c r="Z16" i="1"/>
  <c r="N16" i="1"/>
  <c r="P16" i="1" s="1"/>
  <c r="R16" i="1" s="1"/>
  <c r="S16" i="1" s="1"/>
  <c r="U16" i="1" s="1"/>
  <c r="M16" i="1"/>
  <c r="I16" i="1"/>
  <c r="J16" i="1" s="1"/>
  <c r="Z15" i="1"/>
  <c r="AA15" i="1" s="1"/>
  <c r="AB15" i="1" s="1"/>
  <c r="S15" i="1"/>
  <c r="P15" i="1"/>
  <c r="N15" i="1"/>
  <c r="J15" i="1"/>
  <c r="AI14" i="1"/>
  <c r="AJ14" i="1" s="1"/>
  <c r="AH14" i="1"/>
  <c r="Z14" i="1"/>
  <c r="AA14" i="1" s="1"/>
  <c r="AB14" i="1" s="1"/>
  <c r="S14" i="1"/>
  <c r="R14" i="1"/>
  <c r="N14" i="1"/>
  <c r="P14" i="1" s="1"/>
  <c r="J14" i="1"/>
  <c r="G13" i="1"/>
  <c r="G22" i="1" s="1"/>
  <c r="AH12" i="1"/>
  <c r="AH22" i="1" s="1"/>
  <c r="AA12" i="1"/>
  <c r="Z12" i="1"/>
  <c r="R12" i="1"/>
  <c r="M12" i="1"/>
  <c r="L12" i="1"/>
  <c r="N12" i="1" s="1"/>
  <c r="J12" i="1"/>
  <c r="G12" i="1"/>
  <c r="N162" i="1" l="1"/>
  <c r="V143" i="1"/>
  <c r="W143" i="1" s="1"/>
  <c r="T141" i="1"/>
  <c r="U139" i="1"/>
  <c r="V149" i="1"/>
  <c r="W149" i="1" s="1"/>
  <c r="T142" i="1"/>
  <c r="V144" i="1"/>
  <c r="W144" i="1" s="1"/>
  <c r="V148" i="1"/>
  <c r="W148" i="1" s="1"/>
  <c r="N124" i="1"/>
  <c r="Q134" i="1"/>
  <c r="E134" i="1"/>
  <c r="H134" i="1"/>
  <c r="L134" i="1"/>
  <c r="L166" i="1" s="1"/>
  <c r="V115" i="1"/>
  <c r="W115" i="1" s="1"/>
  <c r="G109" i="1"/>
  <c r="G116" i="1" s="1"/>
  <c r="P108" i="1"/>
  <c r="AE111" i="1"/>
  <c r="AF111" i="1" s="1"/>
  <c r="T92" i="1"/>
  <c r="AE92" i="1"/>
  <c r="AF92" i="1" s="1"/>
  <c r="AE95" i="1"/>
  <c r="AF95" i="1" s="1"/>
  <c r="V85" i="1"/>
  <c r="W85" i="1" s="1"/>
  <c r="V87" i="1"/>
  <c r="W87" i="1" s="1"/>
  <c r="T85" i="1"/>
  <c r="T93" i="1"/>
  <c r="AE83" i="1"/>
  <c r="AF83" i="1" s="1"/>
  <c r="V92" i="1"/>
  <c r="W92" i="1" s="1"/>
  <c r="V95" i="1"/>
  <c r="W95" i="1" s="1"/>
  <c r="U95" i="1"/>
  <c r="V101" i="1"/>
  <c r="W101" i="1" s="1"/>
  <c r="AI92" i="1"/>
  <c r="AJ92" i="1" s="1"/>
  <c r="AI95" i="1"/>
  <c r="AJ95" i="1" s="1"/>
  <c r="J75" i="1"/>
  <c r="AE67" i="1"/>
  <c r="AF67" i="1" s="1"/>
  <c r="J68" i="1"/>
  <c r="V67" i="1"/>
  <c r="W67" i="1" s="1"/>
  <c r="AE51" i="1"/>
  <c r="AF51" i="1" s="1"/>
  <c r="U45" i="1"/>
  <c r="AE45" i="1"/>
  <c r="AF45" i="1" s="1"/>
  <c r="U51" i="1"/>
  <c r="AE33" i="1"/>
  <c r="AF33" i="1" s="1"/>
  <c r="V21" i="1"/>
  <c r="W21" i="1" s="1"/>
  <c r="R21" i="1"/>
  <c r="S21" i="1" s="1"/>
  <c r="AI21" i="1" s="1"/>
  <c r="AJ21" i="1" s="1"/>
  <c r="R20" i="1"/>
  <c r="S20" i="1" s="1"/>
  <c r="AE20" i="1" s="1"/>
  <c r="AF20" i="1" s="1"/>
  <c r="T17" i="1"/>
  <c r="AE19" i="1"/>
  <c r="AF19" i="1" s="1"/>
  <c r="U19" i="1"/>
  <c r="T19" i="1"/>
  <c r="AI19" i="1"/>
  <c r="AJ19" i="1" s="1"/>
  <c r="AE50" i="1"/>
  <c r="AF50" i="1" s="1"/>
  <c r="U50" i="1"/>
  <c r="T50" i="1"/>
  <c r="AI50" i="1"/>
  <c r="AJ50" i="1" s="1"/>
  <c r="T52" i="1"/>
  <c r="U52" i="1"/>
  <c r="V52" i="1"/>
  <c r="W52" i="1" s="1"/>
  <c r="AB26" i="1"/>
  <c r="AA36" i="1"/>
  <c r="R32" i="1"/>
  <c r="S32" i="1" s="1"/>
  <c r="R44" i="1"/>
  <c r="S44" i="1" s="1"/>
  <c r="V44" i="1"/>
  <c r="W44" i="1" s="1"/>
  <c r="AJ79" i="1"/>
  <c r="R64" i="1"/>
  <c r="S64" i="1" s="1"/>
  <c r="V64" i="1"/>
  <c r="W64" i="1" s="1"/>
  <c r="AB12" i="1"/>
  <c r="AA22" i="1"/>
  <c r="V40" i="1"/>
  <c r="Q55" i="1"/>
  <c r="R66" i="1"/>
  <c r="V16" i="1"/>
  <c r="W16" i="1" s="1"/>
  <c r="V19" i="1"/>
  <c r="W19" i="1" s="1"/>
  <c r="AD166" i="1"/>
  <c r="G27" i="1"/>
  <c r="V30" i="1"/>
  <c r="W30" i="1" s="1"/>
  <c r="V35" i="1"/>
  <c r="W35" i="1" s="1"/>
  <c r="R54" i="1"/>
  <c r="S61" i="1"/>
  <c r="Q68" i="1"/>
  <c r="S66" i="1"/>
  <c r="U66" i="1" s="1"/>
  <c r="U40" i="1"/>
  <c r="T40" i="1"/>
  <c r="AI40" i="1"/>
  <c r="AE40" i="1"/>
  <c r="V50" i="1"/>
  <c r="W50" i="1" s="1"/>
  <c r="N68" i="1"/>
  <c r="P59" i="1"/>
  <c r="J22" i="1"/>
  <c r="V14" i="1"/>
  <c r="W14" i="1" s="1"/>
  <c r="AI15" i="1"/>
  <c r="AJ15" i="1" s="1"/>
  <c r="V15" i="1"/>
  <c r="W15" i="1" s="1"/>
  <c r="U15" i="1"/>
  <c r="R18" i="1"/>
  <c r="I22" i="1"/>
  <c r="AE29" i="1"/>
  <c r="AF29" i="1" s="1"/>
  <c r="T29" i="1"/>
  <c r="Z36" i="1"/>
  <c r="AI43" i="1"/>
  <c r="AJ43" i="1" s="1"/>
  <c r="AE43" i="1"/>
  <c r="AF43" i="1" s="1"/>
  <c r="AI48" i="1"/>
  <c r="AJ48" i="1" s="1"/>
  <c r="AE48" i="1"/>
  <c r="AF48" i="1" s="1"/>
  <c r="H104" i="1"/>
  <c r="J79" i="1"/>
  <c r="J104" i="1" s="1"/>
  <c r="O155" i="1"/>
  <c r="AA141" i="1"/>
  <c r="AB141" i="1" s="1"/>
  <c r="AI35" i="1"/>
  <c r="AJ35" i="1" s="1"/>
  <c r="U35" i="1"/>
  <c r="N22" i="1"/>
  <c r="T15" i="1"/>
  <c r="N36" i="1"/>
  <c r="U29" i="1"/>
  <c r="F55" i="1"/>
  <c r="G41" i="1"/>
  <c r="T43" i="1"/>
  <c r="T48" i="1"/>
  <c r="R53" i="1"/>
  <c r="S53" i="1" s="1"/>
  <c r="V53" i="1" s="1"/>
  <c r="W53" i="1" s="1"/>
  <c r="AA68" i="1"/>
  <c r="AB68" i="1" s="1"/>
  <c r="AB59" i="1"/>
  <c r="V65" i="1"/>
  <c r="W65" i="1" s="1"/>
  <c r="U81" i="1"/>
  <c r="T81" i="1"/>
  <c r="AI81" i="1"/>
  <c r="AJ81" i="1" s="1"/>
  <c r="AE81" i="1"/>
  <c r="AF81" i="1" s="1"/>
  <c r="AE108" i="1"/>
  <c r="S116" i="1"/>
  <c r="T116" i="1" s="1"/>
  <c r="U108" i="1"/>
  <c r="AI108" i="1"/>
  <c r="V108" i="1"/>
  <c r="T108" i="1"/>
  <c r="J36" i="1"/>
  <c r="Z55" i="1"/>
  <c r="AA40" i="1"/>
  <c r="U59" i="1"/>
  <c r="T59" i="1"/>
  <c r="AI59" i="1"/>
  <c r="U14" i="1"/>
  <c r="T14" i="1"/>
  <c r="AE14" i="1"/>
  <c r="AF14" i="1" s="1"/>
  <c r="AE59" i="1"/>
  <c r="U65" i="1"/>
  <c r="T65" i="1"/>
  <c r="AI65" i="1"/>
  <c r="AJ65" i="1" s="1"/>
  <c r="AE30" i="1"/>
  <c r="AF30" i="1" s="1"/>
  <c r="U30" i="1"/>
  <c r="T30" i="1"/>
  <c r="G80" i="1"/>
  <c r="F104" i="1"/>
  <c r="F166" i="1" s="1"/>
  <c r="T16" i="1"/>
  <c r="J48" i="1"/>
  <c r="J55" i="1" s="1"/>
  <c r="H55" i="1"/>
  <c r="Q22" i="1"/>
  <c r="S18" i="1"/>
  <c r="V18" i="1" s="1"/>
  <c r="W18" i="1" s="1"/>
  <c r="U146" i="1"/>
  <c r="T146" i="1"/>
  <c r="AI146" i="1"/>
  <c r="AJ146" i="1" s="1"/>
  <c r="AE146" i="1"/>
  <c r="AF146" i="1" s="1"/>
  <c r="T21" i="1"/>
  <c r="AE21" i="1"/>
  <c r="AF21" i="1" s="1"/>
  <c r="U21" i="1"/>
  <c r="AE35" i="1"/>
  <c r="AF35" i="1" s="1"/>
  <c r="AI63" i="1"/>
  <c r="AJ63" i="1" s="1"/>
  <c r="V63" i="1"/>
  <c r="W63" i="1" s="1"/>
  <c r="U63" i="1"/>
  <c r="T63" i="1"/>
  <c r="P12" i="1"/>
  <c r="R31" i="1"/>
  <c r="S31" i="1" s="1"/>
  <c r="R47" i="1"/>
  <c r="S47" i="1" s="1"/>
  <c r="V47" i="1" s="1"/>
  <c r="W47" i="1" s="1"/>
  <c r="P104" i="1"/>
  <c r="U130" i="1"/>
  <c r="T130" i="1"/>
  <c r="AI130" i="1"/>
  <c r="AJ130" i="1" s="1"/>
  <c r="AE130" i="1"/>
  <c r="AF130" i="1" s="1"/>
  <c r="U151" i="1"/>
  <c r="T151" i="1"/>
  <c r="AI151" i="1"/>
  <c r="AJ151" i="1" s="1"/>
  <c r="AE151" i="1"/>
  <c r="AF151" i="1" s="1"/>
  <c r="V151" i="1"/>
  <c r="W151" i="1" s="1"/>
  <c r="T35" i="1"/>
  <c r="S12" i="1"/>
  <c r="AE15" i="1"/>
  <c r="AF15" i="1" s="1"/>
  <c r="F36" i="1"/>
  <c r="V42" i="1"/>
  <c r="W42" i="1" s="1"/>
  <c r="L55" i="1"/>
  <c r="N45" i="1"/>
  <c r="P45" i="1" s="1"/>
  <c r="V45" i="1" s="1"/>
  <c r="W45" i="1" s="1"/>
  <c r="V62" i="1"/>
  <c r="W62" i="1" s="1"/>
  <c r="U62" i="1"/>
  <c r="AE63" i="1"/>
  <c r="AF63" i="1" s="1"/>
  <c r="AE65" i="1"/>
  <c r="AF65" i="1" s="1"/>
  <c r="R73" i="1"/>
  <c r="S73" i="1" s="1"/>
  <c r="V73" i="1" s="1"/>
  <c r="W73" i="1" s="1"/>
  <c r="U113" i="1"/>
  <c r="T113" i="1"/>
  <c r="AI113" i="1"/>
  <c r="AJ113" i="1" s="1"/>
  <c r="AE113" i="1"/>
  <c r="AF113" i="1" s="1"/>
  <c r="AI16" i="1"/>
  <c r="AJ16" i="1" s="1"/>
  <c r="AE16" i="1"/>
  <c r="AF16" i="1" s="1"/>
  <c r="S103" i="1"/>
  <c r="V103" i="1" s="1"/>
  <c r="W103" i="1" s="1"/>
  <c r="R104" i="1"/>
  <c r="G55" i="1"/>
  <c r="AE42" i="1"/>
  <c r="AF42" i="1" s="1"/>
  <c r="U42" i="1"/>
  <c r="T42" i="1"/>
  <c r="AE79" i="1"/>
  <c r="U79" i="1"/>
  <c r="T79" i="1"/>
  <c r="V79" i="1"/>
  <c r="U86" i="1"/>
  <c r="T86" i="1"/>
  <c r="AI86" i="1"/>
  <c r="AJ86" i="1" s="1"/>
  <c r="AE86" i="1"/>
  <c r="AF86" i="1" s="1"/>
  <c r="Z22" i="1"/>
  <c r="R74" i="1"/>
  <c r="S74" i="1" s="1"/>
  <c r="V74" i="1" s="1"/>
  <c r="W74" i="1" s="1"/>
  <c r="N75" i="1"/>
  <c r="AI82" i="1"/>
  <c r="AJ82" i="1" s="1"/>
  <c r="T82" i="1"/>
  <c r="AE82" i="1"/>
  <c r="AF82" i="1" s="1"/>
  <c r="U82" i="1"/>
  <c r="U84" i="1"/>
  <c r="T84" i="1"/>
  <c r="AI84" i="1"/>
  <c r="AJ84" i="1" s="1"/>
  <c r="AE84" i="1"/>
  <c r="AF84" i="1" s="1"/>
  <c r="V84" i="1"/>
  <c r="W84" i="1" s="1"/>
  <c r="V86" i="1"/>
  <c r="W86" i="1" s="1"/>
  <c r="U87" i="1"/>
  <c r="AE87" i="1"/>
  <c r="AF87" i="1" s="1"/>
  <c r="J116" i="1"/>
  <c r="T114" i="1"/>
  <c r="AI114" i="1"/>
  <c r="AJ114" i="1" s="1"/>
  <c r="AE114" i="1"/>
  <c r="AF114" i="1" s="1"/>
  <c r="T140" i="1"/>
  <c r="R161" i="1"/>
  <c r="S161" i="1" s="1"/>
  <c r="T161" i="1" s="1"/>
  <c r="AE27" i="1"/>
  <c r="AF27" i="1" s="1"/>
  <c r="AI72" i="1"/>
  <c r="V99" i="1"/>
  <c r="P116" i="1"/>
  <c r="U110" i="1"/>
  <c r="T110" i="1"/>
  <c r="AI110" i="1"/>
  <c r="AJ110" i="1" s="1"/>
  <c r="P141" i="1"/>
  <c r="V141" i="1" s="1"/>
  <c r="W141" i="1" s="1"/>
  <c r="V147" i="1"/>
  <c r="W147" i="1" s="1"/>
  <c r="R150" i="1"/>
  <c r="S150" i="1" s="1"/>
  <c r="M155" i="1"/>
  <c r="M166" i="1" s="1"/>
  <c r="J124" i="1"/>
  <c r="N132" i="1"/>
  <c r="N134" i="1" s="1"/>
  <c r="P127" i="1"/>
  <c r="AI144" i="1"/>
  <c r="AJ144" i="1" s="1"/>
  <c r="AE144" i="1"/>
  <c r="AF144" i="1" s="1"/>
  <c r="T144" i="1"/>
  <c r="AE147" i="1"/>
  <c r="AF147" i="1" s="1"/>
  <c r="U147" i="1"/>
  <c r="T147" i="1"/>
  <c r="P75" i="1"/>
  <c r="AI83" i="1"/>
  <c r="AJ83" i="1" s="1"/>
  <c r="AI85" i="1"/>
  <c r="AJ85" i="1" s="1"/>
  <c r="U85" i="1"/>
  <c r="AE89" i="1"/>
  <c r="AF89" i="1" s="1"/>
  <c r="T89" i="1"/>
  <c r="AI89" i="1"/>
  <c r="AJ89" i="1" s="1"/>
  <c r="V91" i="1"/>
  <c r="W91" i="1" s="1"/>
  <c r="V112" i="1"/>
  <c r="W112" i="1" s="1"/>
  <c r="H116" i="1"/>
  <c r="R132" i="1"/>
  <c r="S127" i="1"/>
  <c r="AI141" i="1"/>
  <c r="AJ141" i="1" s="1"/>
  <c r="U141" i="1"/>
  <c r="U144" i="1"/>
  <c r="R154" i="1"/>
  <c r="S154" i="1" s="1"/>
  <c r="AI33" i="1"/>
  <c r="AJ33" i="1" s="1"/>
  <c r="AI45" i="1"/>
  <c r="AJ45" i="1" s="1"/>
  <c r="AI51" i="1"/>
  <c r="AJ51" i="1" s="1"/>
  <c r="N104" i="1"/>
  <c r="AI91" i="1"/>
  <c r="AJ91" i="1" s="1"/>
  <c r="T91" i="1"/>
  <c r="AA104" i="1"/>
  <c r="AI112" i="1"/>
  <c r="AJ112" i="1" s="1"/>
  <c r="U112" i="1"/>
  <c r="U122" i="1"/>
  <c r="T122" i="1"/>
  <c r="AI122" i="1"/>
  <c r="R160" i="1"/>
  <c r="R162" i="1" s="1"/>
  <c r="P26" i="1"/>
  <c r="U91" i="1"/>
  <c r="AE98" i="1"/>
  <c r="AF98" i="1" s="1"/>
  <c r="U98" i="1"/>
  <c r="T98" i="1"/>
  <c r="AA116" i="1"/>
  <c r="AB116" i="1" s="1"/>
  <c r="AB108" i="1"/>
  <c r="T112" i="1"/>
  <c r="V122" i="1"/>
  <c r="N55" i="1"/>
  <c r="U72" i="1"/>
  <c r="T72" i="1"/>
  <c r="U102" i="1"/>
  <c r="T102" i="1"/>
  <c r="AI102" i="1"/>
  <c r="AJ102" i="1" s="1"/>
  <c r="Z124" i="1"/>
  <c r="Z134" i="1" s="1"/>
  <c r="AA122" i="1"/>
  <c r="AD134" i="1"/>
  <c r="AA132" i="1"/>
  <c r="AB132" i="1" s="1"/>
  <c r="AB127" i="1"/>
  <c r="V140" i="1"/>
  <c r="AI147" i="1"/>
  <c r="AJ147" i="1" s="1"/>
  <c r="AI149" i="1"/>
  <c r="AJ149" i="1" s="1"/>
  <c r="U149" i="1"/>
  <c r="AE88" i="1"/>
  <c r="AF88" i="1" s="1"/>
  <c r="U88" i="1"/>
  <c r="V72" i="1"/>
  <c r="T88" i="1"/>
  <c r="AE91" i="1"/>
  <c r="AF91" i="1" s="1"/>
  <c r="AI94" i="1"/>
  <c r="AJ94" i="1" s="1"/>
  <c r="AE94" i="1"/>
  <c r="AF94" i="1" s="1"/>
  <c r="T94" i="1"/>
  <c r="T97" i="1"/>
  <c r="AI97" i="1"/>
  <c r="AJ97" i="1" s="1"/>
  <c r="AE97" i="1"/>
  <c r="AF97" i="1" s="1"/>
  <c r="AE115" i="1"/>
  <c r="AF115" i="1" s="1"/>
  <c r="U115" i="1"/>
  <c r="T115" i="1"/>
  <c r="AE122" i="1"/>
  <c r="G134" i="1"/>
  <c r="N155" i="1"/>
  <c r="P138" i="1"/>
  <c r="Q155" i="1"/>
  <c r="T143" i="1"/>
  <c r="V146" i="1"/>
  <c r="W146" i="1" s="1"/>
  <c r="T149" i="1"/>
  <c r="J123" i="1"/>
  <c r="I124" i="1"/>
  <c r="I134" i="1" s="1"/>
  <c r="AA75" i="1"/>
  <c r="AB75" i="1" s="1"/>
  <c r="P162" i="1"/>
  <c r="E166" i="1"/>
  <c r="Z68" i="1"/>
  <c r="AB72" i="1"/>
  <c r="Z104" i="1"/>
  <c r="T87" i="1"/>
  <c r="U96" i="1"/>
  <c r="T96" i="1"/>
  <c r="AI96" i="1"/>
  <c r="AJ96" i="1" s="1"/>
  <c r="AI98" i="1"/>
  <c r="AJ98" i="1" s="1"/>
  <c r="U101" i="1"/>
  <c r="T101" i="1"/>
  <c r="AI101" i="1"/>
  <c r="AJ101" i="1" s="1"/>
  <c r="AE101" i="1"/>
  <c r="AF101" i="1" s="1"/>
  <c r="U114" i="1"/>
  <c r="O124" i="1"/>
  <c r="O134" i="1" s="1"/>
  <c r="O166" i="1" s="1"/>
  <c r="P123" i="1"/>
  <c r="Z155" i="1"/>
  <c r="U148" i="1"/>
  <c r="AI148" i="1"/>
  <c r="AJ148" i="1" s="1"/>
  <c r="AE148" i="1"/>
  <c r="AF148" i="1" s="1"/>
  <c r="S159" i="1"/>
  <c r="T111" i="1"/>
  <c r="AI111" i="1"/>
  <c r="AJ111" i="1" s="1"/>
  <c r="U143" i="1"/>
  <c r="AI143" i="1"/>
  <c r="AJ143" i="1" s="1"/>
  <c r="AE143" i="1"/>
  <c r="AF143" i="1" s="1"/>
  <c r="AE72" i="1"/>
  <c r="T83" i="1"/>
  <c r="V113" i="1"/>
  <c r="W113" i="1" s="1"/>
  <c r="J132" i="1"/>
  <c r="V130" i="1"/>
  <c r="W130" i="1" s="1"/>
  <c r="T148" i="1"/>
  <c r="R152" i="1"/>
  <c r="S152" i="1" s="1"/>
  <c r="AI145" i="1"/>
  <c r="AJ145" i="1" s="1"/>
  <c r="V159" i="1"/>
  <c r="R116" i="1"/>
  <c r="F128" i="1"/>
  <c r="F132" i="1" s="1"/>
  <c r="F134" i="1" s="1"/>
  <c r="T145" i="1"/>
  <c r="J146" i="1"/>
  <c r="J155" i="1" s="1"/>
  <c r="AA159" i="1"/>
  <c r="U145" i="1"/>
  <c r="AA138" i="1"/>
  <c r="R153" i="1"/>
  <c r="S153" i="1" s="1"/>
  <c r="S129" i="1"/>
  <c r="V129" i="1" s="1"/>
  <c r="W129" i="1" s="1"/>
  <c r="S131" i="1"/>
  <c r="V131" i="1" s="1"/>
  <c r="W131" i="1" s="1"/>
  <c r="S160" i="1" l="1"/>
  <c r="V160" i="1" s="1"/>
  <c r="W160" i="1" s="1"/>
  <c r="T129" i="1"/>
  <c r="H166" i="1"/>
  <c r="G166" i="1"/>
  <c r="U116" i="1"/>
  <c r="R75" i="1"/>
  <c r="S68" i="1"/>
  <c r="R55" i="1"/>
  <c r="R22" i="1"/>
  <c r="U20" i="1"/>
  <c r="AI20" i="1"/>
  <c r="AJ20" i="1" s="1"/>
  <c r="T20" i="1"/>
  <c r="V20" i="1"/>
  <c r="W20" i="1" s="1"/>
  <c r="AE152" i="1"/>
  <c r="AF152" i="1" s="1"/>
  <c r="U152" i="1"/>
  <c r="AI152" i="1"/>
  <c r="AJ152" i="1" s="1"/>
  <c r="T152" i="1"/>
  <c r="V152" i="1"/>
  <c r="W152" i="1" s="1"/>
  <c r="R26" i="1"/>
  <c r="P36" i="1"/>
  <c r="U150" i="1"/>
  <c r="T150" i="1"/>
  <c r="AI150" i="1"/>
  <c r="AJ150" i="1" s="1"/>
  <c r="AE150" i="1"/>
  <c r="AF150" i="1" s="1"/>
  <c r="AB36" i="1"/>
  <c r="U153" i="1"/>
  <c r="AI153" i="1"/>
  <c r="AJ153" i="1" s="1"/>
  <c r="AE153" i="1"/>
  <c r="AF153" i="1" s="1"/>
  <c r="T153" i="1"/>
  <c r="R138" i="1"/>
  <c r="P155" i="1"/>
  <c r="Z166" i="1"/>
  <c r="T73" i="1"/>
  <c r="U73" i="1"/>
  <c r="AE12" i="1"/>
  <c r="U12" i="1"/>
  <c r="U22" i="1" s="1"/>
  <c r="T12" i="1"/>
  <c r="S22" i="1"/>
  <c r="AI12" i="1"/>
  <c r="AJ108" i="1"/>
  <c r="AI116" i="1"/>
  <c r="AJ116" i="1" s="1"/>
  <c r="I166" i="1"/>
  <c r="AJ40" i="1"/>
  <c r="W159" i="1"/>
  <c r="AE32" i="1"/>
  <c r="AF32" i="1" s="1"/>
  <c r="T32" i="1"/>
  <c r="AI32" i="1"/>
  <c r="AJ32" i="1" s="1"/>
  <c r="U32" i="1"/>
  <c r="U160" i="1"/>
  <c r="T160" i="1"/>
  <c r="AI160" i="1"/>
  <c r="AJ160" i="1" s="1"/>
  <c r="AE160" i="1"/>
  <c r="AF160" i="1" s="1"/>
  <c r="V153" i="1"/>
  <c r="W153" i="1" s="1"/>
  <c r="AF122" i="1"/>
  <c r="W72" i="1"/>
  <c r="V75" i="1"/>
  <c r="W75" i="1" s="1"/>
  <c r="AI154" i="1"/>
  <c r="AJ154" i="1" s="1"/>
  <c r="U154" i="1"/>
  <c r="T154" i="1"/>
  <c r="AE154" i="1"/>
  <c r="AF154" i="1" s="1"/>
  <c r="V127" i="1"/>
  <c r="P132" i="1"/>
  <c r="P55" i="1"/>
  <c r="AJ59" i="1"/>
  <c r="AF108" i="1"/>
  <c r="AE116" i="1"/>
  <c r="AF116" i="1" s="1"/>
  <c r="S75" i="1"/>
  <c r="T75" i="1" s="1"/>
  <c r="AI104" i="1"/>
  <c r="AJ104" i="1" s="1"/>
  <c r="AA162" i="1"/>
  <c r="AB162" i="1" s="1"/>
  <c r="AB159" i="1"/>
  <c r="AA124" i="1"/>
  <c r="AB122" i="1"/>
  <c r="AI47" i="1"/>
  <c r="AJ47" i="1" s="1"/>
  <c r="U47" i="1"/>
  <c r="T47" i="1"/>
  <c r="AE47" i="1"/>
  <c r="AF47" i="1" s="1"/>
  <c r="W122" i="1"/>
  <c r="V104" i="1"/>
  <c r="W104" i="1" s="1"/>
  <c r="W79" i="1"/>
  <c r="AI103" i="1"/>
  <c r="AJ103" i="1" s="1"/>
  <c r="U103" i="1"/>
  <c r="AE103" i="1"/>
  <c r="AF103" i="1" s="1"/>
  <c r="T103" i="1"/>
  <c r="T68" i="1"/>
  <c r="R123" i="1"/>
  <c r="P124" i="1"/>
  <c r="P134" i="1" s="1"/>
  <c r="T159" i="1"/>
  <c r="AI159" i="1"/>
  <c r="AE159" i="1"/>
  <c r="S162" i="1"/>
  <c r="U159" i="1"/>
  <c r="J134" i="1"/>
  <c r="J166" i="1" s="1"/>
  <c r="AI31" i="1"/>
  <c r="AJ31" i="1" s="1"/>
  <c r="AE31" i="1"/>
  <c r="AF31" i="1" s="1"/>
  <c r="U31" i="1"/>
  <c r="T31" i="1"/>
  <c r="T66" i="1"/>
  <c r="V66" i="1"/>
  <c r="W66" i="1" s="1"/>
  <c r="AB104" i="1"/>
  <c r="AE127" i="1"/>
  <c r="S132" i="1"/>
  <c r="T127" i="1"/>
  <c r="AI127" i="1"/>
  <c r="U127" i="1"/>
  <c r="U132" i="1" s="1"/>
  <c r="S104" i="1"/>
  <c r="T104" i="1" s="1"/>
  <c r="V31" i="1"/>
  <c r="W31" i="1" s="1"/>
  <c r="AA55" i="1"/>
  <c r="AB55" i="1" s="1"/>
  <c r="AB40" i="1"/>
  <c r="N166" i="1"/>
  <c r="U61" i="1"/>
  <c r="U68" i="1" s="1"/>
  <c r="AE61" i="1"/>
  <c r="AF61" i="1" s="1"/>
  <c r="V61" i="1"/>
  <c r="W61" i="1" s="1"/>
  <c r="T61" i="1"/>
  <c r="AI61" i="1"/>
  <c r="AJ61" i="1" s="1"/>
  <c r="S54" i="1"/>
  <c r="AE44" i="1"/>
  <c r="AF44" i="1" s="1"/>
  <c r="T44" i="1"/>
  <c r="AI44" i="1"/>
  <c r="AJ44" i="1" s="1"/>
  <c r="U44" i="1"/>
  <c r="AF79" i="1"/>
  <c r="AE104" i="1"/>
  <c r="AF104" i="1" s="1"/>
  <c r="AE18" i="1"/>
  <c r="AF18" i="1" s="1"/>
  <c r="U18" i="1"/>
  <c r="AI18" i="1"/>
  <c r="AJ18" i="1" s="1"/>
  <c r="AB138" i="1"/>
  <c r="AA155" i="1"/>
  <c r="AB155" i="1" s="1"/>
  <c r="AJ122" i="1"/>
  <c r="T64" i="1"/>
  <c r="AI64" i="1"/>
  <c r="AJ64" i="1" s="1"/>
  <c r="U64" i="1"/>
  <c r="AE64" i="1"/>
  <c r="AF64" i="1" s="1"/>
  <c r="T131" i="1"/>
  <c r="AF72" i="1"/>
  <c r="V154" i="1"/>
  <c r="W154" i="1" s="1"/>
  <c r="AI75" i="1"/>
  <c r="AJ75" i="1" s="1"/>
  <c r="AJ72" i="1"/>
  <c r="AE74" i="1"/>
  <c r="AF74" i="1" s="1"/>
  <c r="T74" i="1"/>
  <c r="AI74" i="1"/>
  <c r="AJ74" i="1" s="1"/>
  <c r="U74" i="1"/>
  <c r="U104" i="1"/>
  <c r="P22" i="1"/>
  <c r="V12" i="1"/>
  <c r="P68" i="1"/>
  <c r="V59" i="1"/>
  <c r="R68" i="1"/>
  <c r="V32" i="1"/>
  <c r="W32" i="1" s="1"/>
  <c r="W140" i="1"/>
  <c r="Q166" i="1"/>
  <c r="T22" i="1"/>
  <c r="W40" i="1"/>
  <c r="AI129" i="1"/>
  <c r="AJ129" i="1" s="1"/>
  <c r="AE129" i="1"/>
  <c r="AF129" i="1" s="1"/>
  <c r="U129" i="1"/>
  <c r="V150" i="1"/>
  <c r="W150" i="1" s="1"/>
  <c r="V161" i="1"/>
  <c r="W161" i="1" s="1"/>
  <c r="T18" i="1"/>
  <c r="AF59" i="1"/>
  <c r="V116" i="1"/>
  <c r="W116" i="1" s="1"/>
  <c r="W108" i="1"/>
  <c r="U53" i="1"/>
  <c r="T53" i="1"/>
  <c r="AI53" i="1"/>
  <c r="AJ53" i="1" s="1"/>
  <c r="AE53" i="1"/>
  <c r="AF53" i="1" s="1"/>
  <c r="AF40" i="1"/>
  <c r="AB22" i="1"/>
  <c r="U162" i="1" l="1"/>
  <c r="U155" i="1"/>
  <c r="T132" i="1"/>
  <c r="U75" i="1"/>
  <c r="AE68" i="1"/>
  <c r="AF68" i="1" s="1"/>
  <c r="AI55" i="1"/>
  <c r="AJ55" i="1" s="1"/>
  <c r="U55" i="1"/>
  <c r="AI68" i="1"/>
  <c r="AJ68" i="1" s="1"/>
  <c r="U54" i="1"/>
  <c r="T54" i="1"/>
  <c r="V54" i="1"/>
  <c r="AI132" i="1"/>
  <c r="AJ132" i="1" s="1"/>
  <c r="AJ127" i="1"/>
  <c r="R155" i="1"/>
  <c r="S138" i="1"/>
  <c r="W155" i="1"/>
  <c r="AE55" i="1"/>
  <c r="AF55" i="1" s="1"/>
  <c r="V132" i="1"/>
  <c r="W132" i="1" s="1"/>
  <c r="W127" i="1"/>
  <c r="V68" i="1"/>
  <c r="W68" i="1" s="1"/>
  <c r="W59" i="1"/>
  <c r="AE75" i="1"/>
  <c r="AF75" i="1" s="1"/>
  <c r="AA134" i="1"/>
  <c r="AB124" i="1"/>
  <c r="AJ12" i="1"/>
  <c r="AI22" i="1"/>
  <c r="S55" i="1"/>
  <c r="T55" i="1" s="1"/>
  <c r="AE132" i="1"/>
  <c r="AF132" i="1" s="1"/>
  <c r="AF127" i="1"/>
  <c r="AF12" i="1"/>
  <c r="AE22" i="1"/>
  <c r="S26" i="1"/>
  <c r="R36" i="1"/>
  <c r="W12" i="1"/>
  <c r="V22" i="1"/>
  <c r="AE162" i="1"/>
  <c r="AF162" i="1" s="1"/>
  <c r="AF159" i="1"/>
  <c r="AI162" i="1"/>
  <c r="AJ162" i="1" s="1"/>
  <c r="AJ159" i="1"/>
  <c r="S123" i="1"/>
  <c r="R124" i="1"/>
  <c r="R134" i="1" s="1"/>
  <c r="V162" i="1"/>
  <c r="W162" i="1" s="1"/>
  <c r="AI138" i="1" l="1"/>
  <c r="AE138" i="1"/>
  <c r="S155" i="1"/>
  <c r="T155" i="1" s="1"/>
  <c r="T138" i="1"/>
  <c r="U138" i="1"/>
  <c r="V138" i="1"/>
  <c r="W138" i="1" s="1"/>
  <c r="AJ22" i="1"/>
  <c r="AB134" i="1"/>
  <c r="AA166" i="1"/>
  <c r="AB166" i="1" s="1"/>
  <c r="W54" i="1"/>
  <c r="V55" i="1"/>
  <c r="W55" i="1" s="1"/>
  <c r="W22" i="1"/>
  <c r="R166" i="1"/>
  <c r="U26" i="1"/>
  <c r="U36" i="1" s="1"/>
  <c r="U166" i="1" s="1"/>
  <c r="AI26" i="1"/>
  <c r="AE26" i="1"/>
  <c r="S36" i="1"/>
  <c r="T26" i="1"/>
  <c r="V26" i="1"/>
  <c r="AF22" i="1"/>
  <c r="AE123" i="1"/>
  <c r="T123" i="1"/>
  <c r="AI123" i="1"/>
  <c r="U123" i="1"/>
  <c r="U124" i="1" s="1"/>
  <c r="U134" i="1" s="1"/>
  <c r="S124" i="1"/>
  <c r="V123" i="1"/>
  <c r="AF123" i="1" l="1"/>
  <c r="AE124" i="1"/>
  <c r="S134" i="1"/>
  <c r="T134" i="1" s="1"/>
  <c r="T124" i="1"/>
  <c r="T36" i="1"/>
  <c r="V36" i="1"/>
  <c r="W26" i="1"/>
  <c r="AF26" i="1"/>
  <c r="AE36" i="1"/>
  <c r="W123" i="1"/>
  <c r="V124" i="1"/>
  <c r="AJ26" i="1"/>
  <c r="AI36" i="1"/>
  <c r="AF138" i="1"/>
  <c r="AE155" i="1"/>
  <c r="AF155" i="1" s="1"/>
  <c r="AJ123" i="1"/>
  <c r="AI124" i="1"/>
  <c r="AJ138" i="1"/>
  <c r="AI155" i="1"/>
  <c r="AJ155" i="1" s="1"/>
  <c r="S166" i="1" l="1"/>
  <c r="T166" i="1" s="1"/>
  <c r="V134" i="1"/>
  <c r="W134" i="1" s="1"/>
  <c r="W124" i="1"/>
  <c r="W36" i="1"/>
  <c r="AI134" i="1"/>
  <c r="AJ134" i="1" s="1"/>
  <c r="AJ124" i="1"/>
  <c r="AF36" i="1"/>
  <c r="AJ36" i="1"/>
  <c r="AI166" i="1"/>
  <c r="AJ166" i="1" s="1"/>
  <c r="AE134" i="1"/>
  <c r="AF134" i="1" s="1"/>
  <c r="AF124" i="1"/>
  <c r="V166" i="1" l="1"/>
  <c r="W166" i="1" s="1"/>
  <c r="AE166" i="1"/>
  <c r="AF16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 Tutt</author>
    <author>McKellar, Terri (ASD-W)</author>
  </authors>
  <commentList>
    <comment ref="H12" authorId="0" shapeId="0" xr:uid="{F97A4F71-66AA-4A55-8E3F-ADF15DA72D59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30 day MAT leaves and certification &amp; experience awards.
</t>
        </r>
      </text>
    </comment>
    <comment ref="C15" authorId="0" shapeId="0" xr:uid="{0E3BB368-DE86-4677-98EC-FC96E3ACB3DC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travel, meeting expenses, extra- and co-curricular trips, copying, telecom, office &amp; computer supplies, office equipment repair, &amp; classroom equipment.</t>
        </r>
      </text>
    </comment>
    <comment ref="H15" authorId="0" shapeId="0" xr:uid="{7CD20365-B9D5-44F5-9F76-69D0A9B04901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OE funding &amp; OE Funding for teachers included in District Specific funding.
</t>
        </r>
      </text>
    </comment>
    <comment ref="C16" authorId="0" shapeId="0" xr:uid="{5D84B20D-250B-456E-BFC3-A471F1072570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instructional materials, textbooks, library materials, and subscriptions.</t>
        </r>
      </text>
    </comment>
    <comment ref="F27" authorId="0" shapeId="0" xr:uid="{D91276ED-1605-4FB7-8D93-ADC6CE84A0AC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EAs &amp; Student Attendants.
</t>
        </r>
      </text>
    </comment>
    <comment ref="F33" authorId="0" shapeId="0" xr:uid="{4CA55FE6-ECB2-43C9-BE17-F4CBCA5CC686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SIWs and Behaviour Intervention Mentors.</t>
        </r>
      </text>
    </comment>
    <comment ref="D45" authorId="0" shapeId="0" xr:uid="{DF32D29D-B4EA-4F1F-8047-219E5239510E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School Psychologists, and staff for the Support Services to Education (SSE) &amp; Talk with Me (TWM) programs.</t>
        </r>
      </text>
    </comment>
    <comment ref="H63" authorId="0" shapeId="0" xr:uid="{D648C92E-1C89-467E-BBA8-33FF236EE610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Nutritional Literacy funding.</t>
        </r>
      </text>
    </comment>
    <comment ref="F79" authorId="0" shapeId="0" xr:uid="{F6933C84-8B18-4575-B89C-194B5FB5C1FF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Hanwell Park Academy custodians.</t>
        </r>
      </text>
    </comment>
    <comment ref="O79" authorId="1" shapeId="0" xr:uid="{8B0DCE88-3C27-4227-86E5-240E5685696C}">
      <text>
        <r>
          <rPr>
            <b/>
            <sz val="9"/>
            <color indexed="81"/>
            <rFont val="Tahoma"/>
            <family val="2"/>
          </rPr>
          <t>McKellar, Terri (ASD-W):</t>
        </r>
        <r>
          <rPr>
            <sz val="9"/>
            <color indexed="81"/>
            <rFont val="Tahoma"/>
            <family val="2"/>
          </rPr>
          <t xml:space="preserve">
retro payment and new collect agree increase estimate</t>
        </r>
      </text>
    </comment>
    <comment ref="H95" authorId="0" shapeId="0" xr:uid="{421DA6BA-C48D-4A47-B4E7-2A1EC45F0A1F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school site remediation funding.</t>
        </r>
      </text>
    </comment>
    <comment ref="H108" authorId="0" shapeId="0" xr:uid="{27CA07A1-F6A7-4056-BF74-6C1E1FA0E007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Bus Driver Coaches.</t>
        </r>
      </text>
    </comment>
    <comment ref="O108" authorId="1" shapeId="0" xr:uid="{F53C65F3-66FC-4D42-ABF8-944EE5C775E8}">
      <text>
        <r>
          <rPr>
            <b/>
            <sz val="9"/>
            <color indexed="81"/>
            <rFont val="Tahoma"/>
            <family val="2"/>
          </rPr>
          <t>McKellar, Terri (ASD-W):</t>
        </r>
        <r>
          <rPr>
            <sz val="9"/>
            <color indexed="81"/>
            <rFont val="Tahoma"/>
            <family val="2"/>
          </rPr>
          <t xml:space="preserve">
retro paid and new collect agree increase estimate</t>
        </r>
      </text>
    </comment>
    <comment ref="C127" authorId="0" shapeId="0" xr:uid="{B740615F-277A-45D7-BA1C-04A5DF1935B5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Office of the Superintendent and Education Support Centres.</t>
        </r>
      </text>
    </comment>
    <comment ref="F127" authorId="0" shapeId="0" xr:uid="{A6E063D4-B6C8-46CD-9ADE-672A422A055A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Excludes ITSS staff and   includes Experiential Learning Coordinators,  Occupational Health &amp; Wellness Coordinators, and additional Asst. Transportation Manager.</t>
        </r>
      </text>
    </comment>
    <comment ref="F128" authorId="0" shapeId="0" xr:uid="{105CD584-E3FF-4A8E-89A0-0401FAE36419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Excludes ITSS staff and   includes Experiential Learning Coordinators,  Occupational Health &amp; Wellness Coordinators.</t>
        </r>
      </text>
    </comment>
    <comment ref="H130" authorId="0" shapeId="0" xr:uid="{BB655569-CC46-4AA3-8E19-77A94AF34A9B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Includes print optimization rate increase funding, and OE for ISD &amp; Experiential Learning Coordinators and reciprocal tax agreement</t>
        </r>
      </text>
    </comment>
    <comment ref="O141" authorId="1" shapeId="0" xr:uid="{7E8D0074-5721-4B5D-9B17-433B4E8B2D21}">
      <text>
        <r>
          <rPr>
            <b/>
            <sz val="9"/>
            <color indexed="81"/>
            <rFont val="Tahoma"/>
            <family val="2"/>
          </rPr>
          <t>McKellar, Terri (ASD-W):</t>
        </r>
        <r>
          <rPr>
            <sz val="9"/>
            <color indexed="81"/>
            <rFont val="Tahoma"/>
            <family val="2"/>
          </rPr>
          <t xml:space="preserve">
1253 new collect agree est</t>
        </r>
      </text>
    </comment>
    <comment ref="O146" authorId="1" shapeId="0" xr:uid="{F9BCEBC4-3C0D-48E4-B68A-263814021AC1}">
      <text>
        <r>
          <rPr>
            <b/>
            <sz val="9"/>
            <color indexed="81"/>
            <rFont val="Tahoma"/>
            <family val="2"/>
          </rPr>
          <t>McKellar, Terri (ASD-W):</t>
        </r>
        <r>
          <rPr>
            <sz val="9"/>
            <color indexed="81"/>
            <rFont val="Tahoma"/>
            <family val="2"/>
          </rPr>
          <t xml:space="preserve">
include 1253 new collect agree increase est</t>
        </r>
      </text>
    </comment>
    <comment ref="O147" authorId="1" shapeId="0" xr:uid="{C315BE37-5B8A-47F6-8D93-83EE38F3F8A2}">
      <text>
        <r>
          <rPr>
            <b/>
            <sz val="9"/>
            <color indexed="81"/>
            <rFont val="Tahoma"/>
            <family val="2"/>
          </rPr>
          <t>McKellar, Terri (ASD-W):</t>
        </r>
        <r>
          <rPr>
            <sz val="9"/>
            <color indexed="81"/>
            <rFont val="Tahoma"/>
            <family val="2"/>
          </rPr>
          <t xml:space="preserve">
1253 new collect agree incr est</t>
        </r>
      </text>
    </comment>
    <comment ref="O148" authorId="1" shapeId="0" xr:uid="{437A2FBE-E813-4263-AD13-EF8BCCD84F7C}">
      <text>
        <r>
          <rPr>
            <b/>
            <sz val="9"/>
            <color indexed="81"/>
            <rFont val="Tahoma"/>
            <family val="2"/>
          </rPr>
          <t>McKellar, Terri (ASD-W):</t>
        </r>
        <r>
          <rPr>
            <sz val="9"/>
            <color indexed="81"/>
            <rFont val="Tahoma"/>
            <family val="2"/>
          </rPr>
          <t xml:space="preserve">
1253 new collect agree increase est</t>
        </r>
      </text>
    </comment>
    <comment ref="H153" authorId="0" shapeId="0" xr:uid="{EC01D2A9-2BD6-4F4D-B6BE-9078BD68872E}">
      <text>
        <r>
          <rPr>
            <b/>
            <sz val="9"/>
            <color indexed="81"/>
            <rFont val="Tahoma"/>
            <family val="2"/>
          </rPr>
          <t>Kevin Tutt:</t>
        </r>
        <r>
          <rPr>
            <sz val="9"/>
            <color indexed="81"/>
            <rFont val="Tahoma"/>
            <family val="2"/>
          </rPr>
          <t xml:space="preserve">
Tool allowance, &amp; safety boot allowance.</t>
        </r>
      </text>
    </comment>
  </commentList>
</comments>
</file>

<file path=xl/sharedStrings.xml><?xml version="1.0" encoding="utf-8"?>
<sst xmlns="http://schemas.openxmlformats.org/spreadsheetml/2006/main" count="307" uniqueCount="260">
  <si>
    <t>ANGLOPHONE SCHOOL DISTRICT - WEST</t>
  </si>
  <si>
    <t>FOR THE YEAR ENDING MARCH 31, 2026</t>
  </si>
  <si>
    <t xml:space="preserve"> </t>
  </si>
  <si>
    <t>Coding</t>
  </si>
  <si>
    <t>Description</t>
  </si>
  <si>
    <t>FTEs</t>
  </si>
  <si>
    <t>Budget</t>
  </si>
  <si>
    <t>Expenses</t>
  </si>
  <si>
    <t>Change</t>
  </si>
  <si>
    <t>Variance</t>
  </si>
  <si>
    <t>Variance Explanation &gt;=$500,000</t>
  </si>
  <si>
    <t>Actual</t>
  </si>
  <si>
    <t>Funded</t>
  </si>
  <si>
    <t>Increase /</t>
  </si>
  <si>
    <t>Original</t>
  </si>
  <si>
    <t>District</t>
  </si>
  <si>
    <t>OE</t>
  </si>
  <si>
    <t>PC</t>
  </si>
  <si>
    <t>Oracle</t>
  </si>
  <si>
    <t>Final</t>
  </si>
  <si>
    <t>Year-to-Date</t>
  </si>
  <si>
    <t>Forecast</t>
  </si>
  <si>
    <t>Total</t>
  </si>
  <si>
    <t>% Spent</t>
  </si>
  <si>
    <t>from last</t>
  </si>
  <si>
    <t>Amount</t>
  </si>
  <si>
    <t>%</t>
  </si>
  <si>
    <t>Staffing changes, vacancies, replacement policy changes, consumption changes,</t>
  </si>
  <si>
    <t>(Decrease)</t>
  </si>
  <si>
    <t>Funding</t>
  </si>
  <si>
    <t>Expenditure</t>
  </si>
  <si>
    <t>Transfers</t>
  </si>
  <si>
    <t>Reduction &amp;</t>
  </si>
  <si>
    <t xml:space="preserve">Transfers </t>
  </si>
  <si>
    <t>to-Date</t>
  </si>
  <si>
    <t>Financial</t>
  </si>
  <si>
    <t>price changes, in-year contract additions</t>
  </si>
  <si>
    <t>2021-22</t>
  </si>
  <si>
    <t>$ Change</t>
  </si>
  <si>
    <t>% Change</t>
  </si>
  <si>
    <t>2019/20</t>
  </si>
  <si>
    <t>2018/19</t>
  </si>
  <si>
    <t>Plan</t>
  </si>
  <si>
    <t>Received</t>
  </si>
  <si>
    <t>Return</t>
  </si>
  <si>
    <t>Pending</t>
  </si>
  <si>
    <t>Report</t>
  </si>
  <si>
    <t>INSTRUCTION &amp; SCHOOL SERVICES</t>
  </si>
  <si>
    <t>P71100-3431</t>
  </si>
  <si>
    <t>Teacher Salaries</t>
  </si>
  <si>
    <t>Apr.-Aug.</t>
  </si>
  <si>
    <t>Sep.-Mar.</t>
  </si>
  <si>
    <t>P71100-3467</t>
  </si>
  <si>
    <t>Supply Teachers</t>
  </si>
  <si>
    <t>P71100-4904</t>
  </si>
  <si>
    <t>School Operating Expenses</t>
  </si>
  <si>
    <t>P71100-5189</t>
  </si>
  <si>
    <t>Instructional Materials</t>
  </si>
  <si>
    <t>District Office Expenses Lead travel</t>
  </si>
  <si>
    <t>P72203-3431</t>
  </si>
  <si>
    <t>Teacher Educational Leaves</t>
  </si>
  <si>
    <t>P72204-4904</t>
  </si>
  <si>
    <t>Out of Province travel</t>
  </si>
  <si>
    <t>P72209-5189</t>
  </si>
  <si>
    <t>Teachers' Working Conditions Fund</t>
  </si>
  <si>
    <t>P75200-3451</t>
  </si>
  <si>
    <t>Co/Extra Curricular Trips</t>
  </si>
  <si>
    <t>TOTAL INSTRUCTION &amp; SCHOOL SERVICES</t>
  </si>
  <si>
    <t>EDUCATION &amp; SUPPORT SERVICES</t>
  </si>
  <si>
    <t>P71300-4904</t>
  </si>
  <si>
    <t>Operating Expenses</t>
  </si>
  <si>
    <t>P72301-3431</t>
  </si>
  <si>
    <t>Educational Assistant (EA) Wages</t>
  </si>
  <si>
    <t>P72301-3451</t>
  </si>
  <si>
    <t>EA Casual Pay</t>
  </si>
  <si>
    <t>P72301-3466</t>
  </si>
  <si>
    <t>EA Replacement Costs</t>
  </si>
  <si>
    <t>P73101-3451</t>
  </si>
  <si>
    <t>Tutor Support</t>
  </si>
  <si>
    <t>P73301-3451</t>
  </si>
  <si>
    <t>Home/Hospital Tutoring</t>
  </si>
  <si>
    <t>P73902-3431</t>
  </si>
  <si>
    <t>Positive Learning Environment</t>
  </si>
  <si>
    <t>P73902-3451</t>
  </si>
  <si>
    <t>PLEP Casual Pay</t>
  </si>
  <si>
    <t>TOTAL EDUCATION &amp; SUPPORT SERVICES</t>
  </si>
  <si>
    <t>SCHOOL MANAGEMENT &amp; SUPPORT</t>
  </si>
  <si>
    <t>P72100-3431</t>
  </si>
  <si>
    <t>School Administrative Assistant (SAA) Wages</t>
  </si>
  <si>
    <t>P72100-3451</t>
  </si>
  <si>
    <t>SAA Casual Pay</t>
  </si>
  <si>
    <t>P72100-3466</t>
  </si>
  <si>
    <t>SAA Replacement Costs</t>
  </si>
  <si>
    <t>P72100-5739</t>
  </si>
  <si>
    <t>School Office &amp; Telephones</t>
  </si>
  <si>
    <t>P72201-3431</t>
  </si>
  <si>
    <t>SSE / Talk with Me (TWM) Salaries</t>
  </si>
  <si>
    <t>P72201-4904</t>
  </si>
  <si>
    <t>SSE / TWM Operating Expenses</t>
  </si>
  <si>
    <t>P72202-3431</t>
  </si>
  <si>
    <t>Library Assistant (LA) Wages</t>
  </si>
  <si>
    <t>P72202-3451</t>
  </si>
  <si>
    <t>LA Casual Pay</t>
  </si>
  <si>
    <t>P72202-3466</t>
  </si>
  <si>
    <t>LA Replacement Costs</t>
  </si>
  <si>
    <t>P72202-5189</t>
  </si>
  <si>
    <t>LA resources (Public libraries)</t>
  </si>
  <si>
    <t>P72205-3467</t>
  </si>
  <si>
    <t>EECD Organized P.D. &amp; Meetings</t>
  </si>
  <si>
    <t>P72200-P72300</t>
  </si>
  <si>
    <t>Other Support Services</t>
  </si>
  <si>
    <t>TOTAL SCHOOL MANAGEMENT &amp; SUPPORT</t>
  </si>
  <si>
    <t>PROGRAMS</t>
  </si>
  <si>
    <t>P72211-3431</t>
  </si>
  <si>
    <t>Community Schools Coordinator Salaries</t>
  </si>
  <si>
    <t>P72211-4904</t>
  </si>
  <si>
    <t>Community Schools Operating Expenses</t>
  </si>
  <si>
    <t>P73114-5189</t>
  </si>
  <si>
    <t>Nutritional Literacy Funding</t>
  </si>
  <si>
    <t>P73114-5241</t>
  </si>
  <si>
    <t>Healthy Minds</t>
  </si>
  <si>
    <t>P73302-3451</t>
  </si>
  <si>
    <t>EAL Tutoring</t>
  </si>
  <si>
    <t>P73500-3431</t>
  </si>
  <si>
    <t>First Nations Education</t>
  </si>
  <si>
    <t>P72405-P73913</t>
  </si>
  <si>
    <t>Other Programs (includes Adm mtgs)</t>
  </si>
  <si>
    <t>P73914-3431</t>
  </si>
  <si>
    <t>Youth Futures</t>
  </si>
  <si>
    <t>TOTAL PROGRAMS</t>
  </si>
  <si>
    <t>INFORMATION TECHNOLOGY</t>
  </si>
  <si>
    <t>P72402-3431</t>
  </si>
  <si>
    <t>I.T. Technician Salaries</t>
  </si>
  <si>
    <t>To be reimbursed by EECD/ITSS</t>
  </si>
  <si>
    <t>P72402-6071</t>
  </si>
  <si>
    <t>P72407-3431</t>
  </si>
  <si>
    <t>I.T. Shared Services</t>
  </si>
  <si>
    <t>TOTAL INFORMATION TECHNOLOGY</t>
  </si>
  <si>
    <t>FACILITIES</t>
  </si>
  <si>
    <t>P74100-3431</t>
  </si>
  <si>
    <t>Custodial &amp; Maintenance Wages</t>
  </si>
  <si>
    <t>P74100-3432</t>
  </si>
  <si>
    <t>Overtime Pay</t>
  </si>
  <si>
    <t>P74100-3435</t>
  </si>
  <si>
    <t>Night &amp; split shift premiums</t>
  </si>
  <si>
    <t>P74100-3451</t>
  </si>
  <si>
    <t>Casual Pay</t>
  </si>
  <si>
    <t>P74100-3466</t>
  </si>
  <si>
    <t>Custodian Replacement Costs</t>
  </si>
  <si>
    <t>P74100-4252</t>
  </si>
  <si>
    <t>Electricity</t>
  </si>
  <si>
    <t>P74100-4255</t>
  </si>
  <si>
    <t>Water &amp; Sewer</t>
  </si>
  <si>
    <t>P74100-4509</t>
  </si>
  <si>
    <t>Other  Operating Expenses</t>
  </si>
  <si>
    <t>P74100-4511</t>
  </si>
  <si>
    <t>Contracted Cleaning</t>
  </si>
  <si>
    <t>P74100-4513</t>
  </si>
  <si>
    <t>Garbage Removal</t>
  </si>
  <si>
    <t>P74100-4514</t>
  </si>
  <si>
    <t>Minor Repairs</t>
  </si>
  <si>
    <t>P74100-4519</t>
  </si>
  <si>
    <t>Other Building Services</t>
  </si>
  <si>
    <t>P74100-4711</t>
  </si>
  <si>
    <t>Snow Removal</t>
  </si>
  <si>
    <t>P74100-4721</t>
  </si>
  <si>
    <t>Facility Rentals</t>
  </si>
  <si>
    <t>P74100-4731</t>
  </si>
  <si>
    <t>Maintenance Vehicle Expenses</t>
  </si>
  <si>
    <t>P74100-4904</t>
  </si>
  <si>
    <t>P74100-5331</t>
  </si>
  <si>
    <t>Heating Fuel</t>
  </si>
  <si>
    <t>P74100-5332</t>
  </si>
  <si>
    <t>Natural Gas</t>
  </si>
  <si>
    <t>P74100-5339</t>
  </si>
  <si>
    <t>Wood Pellets</t>
  </si>
  <si>
    <t>P74100-5413</t>
  </si>
  <si>
    <t>Cleaning Supplies</t>
  </si>
  <si>
    <t>P74100-6479</t>
  </si>
  <si>
    <t xml:space="preserve">Operating Expenses </t>
  </si>
  <si>
    <t>P74102-4769</t>
  </si>
  <si>
    <t>P74104-5413</t>
  </si>
  <si>
    <t>P74103-P74120</t>
  </si>
  <si>
    <t>Maintenance Projects</t>
  </si>
  <si>
    <t>TOTAL FACILITIES</t>
  </si>
  <si>
    <t>TRANSPORTATION</t>
  </si>
  <si>
    <t>P75100-3431</t>
  </si>
  <si>
    <t>Bus Driver Wages</t>
  </si>
  <si>
    <t>P75100-3432</t>
  </si>
  <si>
    <t>P75100-3451</t>
  </si>
  <si>
    <t>P75100-3466</t>
  </si>
  <si>
    <t>Bus Driver Replacement Costs</t>
  </si>
  <si>
    <t>P75100-4554</t>
  </si>
  <si>
    <t>Contracted Conveyances</t>
  </si>
  <si>
    <t>P75100-4731</t>
  </si>
  <si>
    <t>Bus Operations</t>
  </si>
  <si>
    <t>P75100-4904</t>
  </si>
  <si>
    <t>TOTAL TRANSPORTATION</t>
  </si>
  <si>
    <t>DISTRICT OPERATIONS</t>
  </si>
  <si>
    <t>DECs &amp; PSSCs</t>
  </si>
  <si>
    <t>P76100-3449</t>
  </si>
  <si>
    <t>DEC Compensation</t>
  </si>
  <si>
    <t>P76100-4505</t>
  </si>
  <si>
    <t>DEC / PSSC Operating Expenses</t>
  </si>
  <si>
    <t>TOTAL DECs &amp; PSSCs</t>
  </si>
  <si>
    <t>DISTRICT MANAGEMENT</t>
  </si>
  <si>
    <t>P76200-3431</t>
  </si>
  <si>
    <t>District Management Salaries</t>
  </si>
  <si>
    <t>P76200-3451</t>
  </si>
  <si>
    <t>P76200-4904</t>
  </si>
  <si>
    <t>P76600-4801</t>
  </si>
  <si>
    <t>Occupational Health &amp; Safety</t>
  </si>
  <si>
    <t>TOTAL DISTRICT MANAGEMENT</t>
  </si>
  <si>
    <t>TOTAL DISTRICT OPERATIONS</t>
  </si>
  <si>
    <t>BENEFITS</t>
  </si>
  <si>
    <t>P77100-3429</t>
  </si>
  <si>
    <t>Other Pension</t>
  </si>
  <si>
    <t>P77100-3434</t>
  </si>
  <si>
    <t>Standby Pay</t>
  </si>
  <si>
    <t>P77100-3438</t>
  </si>
  <si>
    <t>Retirement Allowances</t>
  </si>
  <si>
    <t>P77100-3441</t>
  </si>
  <si>
    <t>Vacation Pay</t>
  </si>
  <si>
    <t>P77100-3451</t>
  </si>
  <si>
    <t>P77100-3463</t>
  </si>
  <si>
    <t>Vacation Pay - Casual</t>
  </si>
  <si>
    <t>P77100-3466</t>
  </si>
  <si>
    <t>Worksafe N.B.</t>
  </si>
  <si>
    <t>P77100-3467</t>
  </si>
  <si>
    <t>Supply Days</t>
  </si>
  <si>
    <t>P77100-3601</t>
  </si>
  <si>
    <t>Group Insurance</t>
  </si>
  <si>
    <t>P77100-3602</t>
  </si>
  <si>
    <t>Canada Pension Plan</t>
  </si>
  <si>
    <t>P77100-3603</t>
  </si>
  <si>
    <t>Health &amp; Dental Insurance</t>
  </si>
  <si>
    <t>P77100-3604</t>
  </si>
  <si>
    <t>Employment Insurance</t>
  </si>
  <si>
    <t>P77100-3704</t>
  </si>
  <si>
    <t>Dry Cleaning Allowance</t>
  </si>
  <si>
    <t>P77100-3705</t>
  </si>
  <si>
    <t>Block Heater Allowance</t>
  </si>
  <si>
    <t>P77100-3706</t>
  </si>
  <si>
    <t>Bus Driver Medical</t>
  </si>
  <si>
    <t>P77100-3709</t>
  </si>
  <si>
    <t>Other Benefits</t>
  </si>
  <si>
    <t>P77100-3711</t>
  </si>
  <si>
    <t>Workers Compensation</t>
  </si>
  <si>
    <t>TOTAL BENEFITS</t>
  </si>
  <si>
    <t>PROJECTS</t>
  </si>
  <si>
    <t>P78105-3431</t>
  </si>
  <si>
    <t>Secondments</t>
  </si>
  <si>
    <t>P78100-P78199</t>
  </si>
  <si>
    <t>Other Projects</t>
  </si>
  <si>
    <t>P78200</t>
  </si>
  <si>
    <t>Breakfast Program</t>
  </si>
  <si>
    <t>TOTAL PROJECTS</t>
  </si>
  <si>
    <t>Budget Reduction</t>
  </si>
  <si>
    <t>TOTAL</t>
  </si>
  <si>
    <t>FINANCIAL REPORT-4TH QUARTER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</si>
</sst>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;0;"/>
    <numFmt numFmtId="165" formatCode="[$-1009]d\-mmm\-yy;@"/>
    <numFmt numFmtId="166" formatCode="##,##0.00_);[Red]\(##,##0.00\);0.00_)"/>
    <numFmt numFmtId="168" formatCode="&quot;$&quot;#,##0"/>
    <numFmt numFmtId="169" formatCode="##,##0_);[Red]\(##,##0\);0_)"/>
    <numFmt numFmtId="170" formatCode="0.00%_);[Red]\(0.00%\);0.00%_)"/>
    <numFmt numFmtId="171" formatCode="&quot;$&quot;##,##0_);[Red]\(&quot;$&quot;##,##0\);&quot;$&quot;0_)"/>
    <numFmt numFmtId="172" formatCode="_(* #,##0_);_(* \(#,##0\);_(* &quot;-&quot;??_);_(@_)"/>
    <numFmt numFmtId="174" formatCode="_-* #,##0\ _$_-;\-* #,##0\ _$_-;_-* &quot;-&quot;??\ _$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8"/>
      <name val="Bookman Old Style"/>
      <family val="1"/>
    </font>
    <font>
      <b/>
      <sz val="12"/>
      <name val="Bookman Old Style"/>
      <family val="1"/>
    </font>
    <font>
      <b/>
      <sz val="12"/>
      <color rgb="FFFF0000"/>
      <name val="Bookman Old Style"/>
      <family val="1"/>
    </font>
    <font>
      <sz val="10"/>
      <name val="MS Sans Serif"/>
      <family val="2"/>
    </font>
    <font>
      <b/>
      <i/>
      <sz val="12"/>
      <color indexed="8"/>
      <name val="Arial"/>
      <family val="2"/>
    </font>
    <font>
      <sz val="10"/>
      <color rgb="FFFF0000"/>
      <name val="Bookman Old Style"/>
      <family val="1"/>
    </font>
    <font>
      <b/>
      <i/>
      <sz val="10"/>
      <name val="Bookman Old Style"/>
      <family val="1"/>
    </font>
    <font>
      <sz val="10"/>
      <name val="Arial"/>
      <family val="2"/>
    </font>
    <font>
      <b/>
      <u/>
      <sz val="10"/>
      <name val="Bookman Old Style"/>
      <family val="1"/>
    </font>
    <font>
      <b/>
      <i/>
      <sz val="10"/>
      <color rgb="FFFF0000"/>
      <name val="Bookman Old Style"/>
      <family val="1"/>
    </font>
    <font>
      <b/>
      <i/>
      <u/>
      <sz val="10"/>
      <name val="Bookman Old Style"/>
      <family val="1"/>
    </font>
    <font>
      <b/>
      <sz val="10"/>
      <name val="Arial Black"/>
      <family val="2"/>
    </font>
    <font>
      <i/>
      <sz val="9"/>
      <name val="Bookman Old Style"/>
      <family val="1"/>
    </font>
    <font>
      <sz val="9"/>
      <name val="Bookman Old Style"/>
      <family val="1"/>
    </font>
    <font>
      <b/>
      <sz val="10"/>
      <color rgb="FFFF0000"/>
      <name val="Bookman Old Style"/>
      <family val="1"/>
    </font>
    <font>
      <b/>
      <sz val="8"/>
      <name val="Bookman Old Style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auto="1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8" fontId="7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Continuous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/>
    </xf>
    <xf numFmtId="0" fontId="2" fillId="2" borderId="0" xfId="0" applyFont="1" applyFill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2" fillId="0" borderId="0" xfId="0" quotePrefix="1" applyNumberFormat="1" applyFont="1" applyAlignment="1">
      <alignment horizontal="center"/>
    </xf>
    <xf numFmtId="0" fontId="3" fillId="0" borderId="2" xfId="0" applyFont="1" applyBorder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49" fontId="3" fillId="5" borderId="3" xfId="0" applyNumberFormat="1" applyFont="1" applyFill="1" applyBorder="1" applyAlignment="1">
      <alignment horizontal="center"/>
    </xf>
    <xf numFmtId="49" fontId="3" fillId="5" borderId="4" xfId="0" applyNumberFormat="1" applyFont="1" applyFill="1" applyBorder="1" applyAlignment="1">
      <alignment horizontal="center"/>
    </xf>
    <xf numFmtId="49" fontId="3" fillId="6" borderId="6" xfId="0" applyNumberFormat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6" fontId="8" fillId="3" borderId="8" xfId="4" applyNumberFormat="1" applyFont="1" applyFill="1" applyBorder="1" applyAlignment="1">
      <alignment horizontal="center" vertical="center"/>
    </xf>
    <xf numFmtId="6" fontId="8" fillId="3" borderId="9" xfId="4" applyNumberFormat="1" applyFont="1" applyFill="1" applyBorder="1" applyAlignment="1">
      <alignment horizontal="center" vertical="center"/>
    </xf>
    <xf numFmtId="6" fontId="8" fillId="3" borderId="10" xfId="4" applyNumberFormat="1" applyFont="1" applyFill="1" applyBorder="1" applyAlignment="1">
      <alignment horizontal="center" vertical="center"/>
    </xf>
    <xf numFmtId="6" fontId="8" fillId="2" borderId="8" xfId="4" applyNumberFormat="1" applyFont="1" applyFill="1" applyBorder="1" applyAlignment="1">
      <alignment horizontal="center" vertical="center"/>
    </xf>
    <xf numFmtId="6" fontId="8" fillId="2" borderId="9" xfId="4" applyNumberFormat="1" applyFont="1" applyFill="1" applyBorder="1" applyAlignment="1">
      <alignment horizontal="center" vertical="center"/>
    </xf>
    <xf numFmtId="6" fontId="8" fillId="2" borderId="10" xfId="4" applyNumberFormat="1" applyFont="1" applyFill="1" applyBorder="1" applyAlignment="1">
      <alignment horizontal="center" vertical="center"/>
    </xf>
    <xf numFmtId="6" fontId="8" fillId="9" borderId="8" xfId="4" applyNumberFormat="1" applyFont="1" applyFill="1" applyBorder="1" applyAlignment="1">
      <alignment horizontal="center" vertical="center"/>
    </xf>
    <xf numFmtId="6" fontId="8" fillId="9" borderId="9" xfId="4" applyNumberFormat="1" applyFont="1" applyFill="1" applyBorder="1" applyAlignment="1">
      <alignment horizontal="center" vertical="center"/>
    </xf>
    <xf numFmtId="6" fontId="8" fillId="9" borderId="10" xfId="4" applyNumberFormat="1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right"/>
    </xf>
    <xf numFmtId="0" fontId="3" fillId="2" borderId="14" xfId="0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10" borderId="0" xfId="0" applyNumberFormat="1" applyFont="1" applyFill="1" applyAlignment="1">
      <alignment horizontal="center"/>
    </xf>
    <xf numFmtId="49" fontId="3" fillId="9" borderId="0" xfId="0" applyNumberFormat="1" applyFont="1" applyFill="1" applyAlignment="1">
      <alignment horizontal="center"/>
    </xf>
    <xf numFmtId="49" fontId="3" fillId="6" borderId="0" xfId="0" applyNumberFormat="1" applyFont="1" applyFill="1" applyAlignment="1">
      <alignment horizontal="center"/>
    </xf>
    <xf numFmtId="49" fontId="3" fillId="11" borderId="0" xfId="0" applyNumberFormat="1" applyFont="1" applyFill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6" fontId="8" fillId="3" borderId="14" xfId="4" applyNumberFormat="1" applyFont="1" applyFill="1" applyBorder="1" applyAlignment="1">
      <alignment horizontal="center" vertical="center"/>
    </xf>
    <xf numFmtId="6" fontId="8" fillId="3" borderId="16" xfId="4" applyNumberFormat="1" applyFont="1" applyFill="1" applyBorder="1" applyAlignment="1">
      <alignment horizontal="center" vertical="center"/>
    </xf>
    <xf numFmtId="6" fontId="8" fillId="3" borderId="15" xfId="4" applyNumberFormat="1" applyFont="1" applyFill="1" applyBorder="1" applyAlignment="1">
      <alignment horizontal="center" vertical="center"/>
    </xf>
    <xf numFmtId="6" fontId="8" fillId="2" borderId="14" xfId="4" applyNumberFormat="1" applyFont="1" applyFill="1" applyBorder="1" applyAlignment="1">
      <alignment horizontal="center" vertical="center"/>
    </xf>
    <xf numFmtId="6" fontId="8" fillId="2" borderId="16" xfId="4" applyNumberFormat="1" applyFont="1" applyFill="1" applyBorder="1" applyAlignment="1">
      <alignment horizontal="center" vertical="center"/>
    </xf>
    <xf numFmtId="6" fontId="8" fillId="2" borderId="15" xfId="4" applyNumberFormat="1" applyFont="1" applyFill="1" applyBorder="1" applyAlignment="1">
      <alignment horizontal="center" vertical="center"/>
    </xf>
    <xf numFmtId="6" fontId="8" fillId="9" borderId="14" xfId="4" applyNumberFormat="1" applyFont="1" applyFill="1" applyBorder="1" applyAlignment="1">
      <alignment horizontal="center" vertical="center"/>
    </xf>
    <xf numFmtId="6" fontId="8" fillId="9" borderId="16" xfId="4" applyNumberFormat="1" applyFont="1" applyFill="1" applyBorder="1" applyAlignment="1">
      <alignment horizontal="center" vertical="center"/>
    </xf>
    <xf numFmtId="6" fontId="8" fillId="9" borderId="15" xfId="4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165" fontId="3" fillId="8" borderId="14" xfId="0" applyNumberFormat="1" applyFont="1" applyFill="1" applyBorder="1" applyAlignment="1">
      <alignment horizontal="right"/>
    </xf>
    <xf numFmtId="0" fontId="9" fillId="0" borderId="15" xfId="0" applyFont="1" applyBorder="1" applyAlignment="1">
      <alignment horizontal="right"/>
    </xf>
    <xf numFmtId="0" fontId="3" fillId="10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165" fontId="3" fillId="9" borderId="14" xfId="5" applyNumberFormat="1" applyFont="1" applyFill="1" applyBorder="1" applyAlignment="1">
      <alignment horizontal="right"/>
    </xf>
    <xf numFmtId="0" fontId="3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13" fontId="8" fillId="3" borderId="14" xfId="4" quotePrefix="1" applyNumberFormat="1" applyFont="1" applyFill="1" applyBorder="1" applyAlignment="1">
      <alignment horizontal="center" vertical="center"/>
    </xf>
    <xf numFmtId="13" fontId="8" fillId="3" borderId="16" xfId="4" quotePrefix="1" applyNumberFormat="1" applyFont="1" applyFill="1" applyBorder="1" applyAlignment="1">
      <alignment horizontal="center" vertical="center"/>
    </xf>
    <xf numFmtId="13" fontId="8" fillId="3" borderId="15" xfId="4" quotePrefix="1" applyNumberFormat="1" applyFont="1" applyFill="1" applyBorder="1" applyAlignment="1">
      <alignment horizontal="center" vertical="center"/>
    </xf>
    <xf numFmtId="13" fontId="8" fillId="2" borderId="14" xfId="4" quotePrefix="1" applyNumberFormat="1" applyFont="1" applyFill="1" applyBorder="1" applyAlignment="1">
      <alignment horizontal="center" vertical="center"/>
    </xf>
    <xf numFmtId="13" fontId="8" fillId="2" borderId="16" xfId="4" quotePrefix="1" applyNumberFormat="1" applyFont="1" applyFill="1" applyBorder="1" applyAlignment="1">
      <alignment horizontal="center" vertical="center"/>
    </xf>
    <xf numFmtId="13" fontId="8" fillId="2" borderId="15" xfId="4" quotePrefix="1" applyNumberFormat="1" applyFont="1" applyFill="1" applyBorder="1" applyAlignment="1">
      <alignment horizontal="center" vertical="center"/>
    </xf>
    <xf numFmtId="13" fontId="8" fillId="9" borderId="14" xfId="4" quotePrefix="1" applyNumberFormat="1" applyFont="1" applyFill="1" applyBorder="1" applyAlignment="1">
      <alignment horizontal="center" vertical="center"/>
    </xf>
    <xf numFmtId="13" fontId="8" fillId="9" borderId="16" xfId="4" quotePrefix="1" applyNumberFormat="1" applyFont="1" applyFill="1" applyBorder="1" applyAlignment="1">
      <alignment horizontal="center" vertical="center"/>
    </xf>
    <xf numFmtId="13" fontId="8" fillId="9" borderId="15" xfId="4" quotePrefix="1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7" xfId="0" applyFont="1" applyBorder="1"/>
    <xf numFmtId="165" fontId="3" fillId="8" borderId="18" xfId="0" applyNumberFormat="1" applyFont="1" applyFill="1" applyBorder="1" applyAlignment="1">
      <alignment horizontal="right"/>
    </xf>
    <xf numFmtId="49" fontId="3" fillId="0" borderId="1" xfId="0" applyNumberFormat="1" applyFont="1" applyBorder="1" applyAlignment="1">
      <alignment horizontal="center"/>
    </xf>
    <xf numFmtId="0" fontId="3" fillId="0" borderId="19" xfId="0" applyFont="1" applyBorder="1" applyAlignment="1">
      <alignment horizontal="right"/>
    </xf>
    <xf numFmtId="0" fontId="3" fillId="2" borderId="18" xfId="0" applyFont="1" applyFill="1" applyBorder="1" applyAlignment="1">
      <alignment horizontal="center"/>
    </xf>
    <xf numFmtId="49" fontId="3" fillId="10" borderId="1" xfId="0" applyNumberFormat="1" applyFont="1" applyFill="1" applyBorder="1" applyAlignment="1">
      <alignment horizontal="center"/>
    </xf>
    <xf numFmtId="49" fontId="3" fillId="9" borderId="1" xfId="0" applyNumberFormat="1" applyFon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165" fontId="3" fillId="11" borderId="1" xfId="0" applyNumberFormat="1" applyFont="1" applyFill="1" applyBorder="1" applyAlignment="1">
      <alignment horizontal="center"/>
    </xf>
    <xf numFmtId="165" fontId="10" fillId="6" borderId="1" xfId="0" applyNumberFormat="1" applyFont="1" applyFill="1" applyBorder="1" applyAlignment="1">
      <alignment horizontal="center"/>
    </xf>
    <xf numFmtId="165" fontId="3" fillId="0" borderId="18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6" borderId="20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right"/>
    </xf>
    <xf numFmtId="0" fontId="4" fillId="0" borderId="18" xfId="0" applyFont="1" applyBorder="1" applyAlignment="1">
      <alignment horizontal="left"/>
    </xf>
    <xf numFmtId="0" fontId="3" fillId="3" borderId="18" xfId="0" applyFont="1" applyFill="1" applyBorder="1"/>
    <xf numFmtId="0" fontId="3" fillId="3" borderId="21" xfId="0" applyFont="1" applyFill="1" applyBorder="1"/>
    <xf numFmtId="0" fontId="3" fillId="3" borderId="17" xfId="0" applyFont="1" applyFill="1" applyBorder="1"/>
    <xf numFmtId="0" fontId="3" fillId="2" borderId="18" xfId="0" applyFont="1" applyFill="1" applyBorder="1"/>
    <xf numFmtId="0" fontId="3" fillId="2" borderId="21" xfId="0" applyFont="1" applyFill="1" applyBorder="1"/>
    <xf numFmtId="0" fontId="3" fillId="2" borderId="17" xfId="0" applyFont="1" applyFill="1" applyBorder="1"/>
    <xf numFmtId="0" fontId="3" fillId="9" borderId="18" xfId="0" applyFont="1" applyFill="1" applyBorder="1"/>
    <xf numFmtId="0" fontId="3" fillId="9" borderId="21" xfId="0" applyFont="1" applyFill="1" applyBorder="1"/>
    <xf numFmtId="0" fontId="3" fillId="9" borderId="17" xfId="0" applyFont="1" applyFill="1" applyBorder="1"/>
    <xf numFmtId="0" fontId="3" fillId="0" borderId="8" xfId="0" applyFont="1" applyBorder="1"/>
    <xf numFmtId="0" fontId="3" fillId="0" borderId="10" xfId="0" applyFont="1" applyBorder="1"/>
    <xf numFmtId="0" fontId="3" fillId="0" borderId="14" xfId="0" applyFont="1" applyBorder="1"/>
    <xf numFmtId="0" fontId="2" fillId="0" borderId="14" xfId="0" applyFont="1" applyBorder="1"/>
    <xf numFmtId="0" fontId="11" fillId="0" borderId="2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7" xfId="0" applyFont="1" applyBorder="1"/>
    <xf numFmtId="0" fontId="3" fillId="0" borderId="16" xfId="0" applyFont="1" applyBorder="1"/>
    <xf numFmtId="0" fontId="3" fillId="0" borderId="15" xfId="0" applyFont="1" applyBorder="1"/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66" fontId="3" fillId="0" borderId="0" xfId="0" applyNumberFormat="1" applyFont="1" applyAlignment="1">
      <alignment horizontal="right" vertical="center"/>
    </xf>
    <xf numFmtId="4" fontId="3" fillId="8" borderId="14" xfId="0" applyNumberFormat="1" applyFont="1" applyFill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166" fontId="3" fillId="0" borderId="15" xfId="0" applyNumberFormat="1" applyFont="1" applyBorder="1" applyAlignment="1">
      <alignment horizontal="right" vertical="center"/>
    </xf>
    <xf numFmtId="168" fontId="3" fillId="0" borderId="14" xfId="1" applyNumberFormat="1" applyFont="1" applyFill="1" applyBorder="1" applyAlignment="1" applyProtection="1">
      <alignment horizontal="right" vertical="center"/>
    </xf>
    <xf numFmtId="168" fontId="3" fillId="0" borderId="0" xfId="1" applyNumberFormat="1" applyFont="1" applyFill="1" applyBorder="1" applyAlignment="1" applyProtection="1">
      <alignment horizontal="right" vertical="center"/>
    </xf>
    <xf numFmtId="168" fontId="3" fillId="0" borderId="0" xfId="0" applyNumberFormat="1" applyFont="1" applyAlignment="1">
      <alignment horizontal="right" vertical="center"/>
    </xf>
    <xf numFmtId="168" fontId="3" fillId="12" borderId="0" xfId="1" applyNumberFormat="1" applyFont="1" applyFill="1" applyBorder="1" applyAlignment="1" applyProtection="1">
      <alignment horizontal="right" vertical="center"/>
    </xf>
    <xf numFmtId="169" fontId="3" fillId="9" borderId="0" xfId="1" applyNumberFormat="1" applyFont="1" applyFill="1" applyBorder="1" applyAlignment="1" applyProtection="1">
      <alignment horizontal="right" vertical="center"/>
    </xf>
    <xf numFmtId="168" fontId="3" fillId="12" borderId="0" xfId="0" applyNumberFormat="1" applyFont="1" applyFill="1"/>
    <xf numFmtId="170" fontId="11" fillId="0" borderId="0" xfId="3" applyNumberFormat="1" applyFont="1" applyFill="1" applyBorder="1" applyAlignment="1">
      <alignment horizontal="right" vertical="center"/>
    </xf>
    <xf numFmtId="6" fontId="3" fillId="0" borderId="14" xfId="0" applyNumberFormat="1" applyFont="1" applyBorder="1" applyAlignment="1">
      <alignment horizontal="right" vertical="center"/>
    </xf>
    <xf numFmtId="170" fontId="3" fillId="0" borderId="15" xfId="3" applyNumberFormat="1" applyFont="1" applyFill="1" applyBorder="1" applyAlignment="1">
      <alignment horizontal="right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8" fontId="3" fillId="0" borderId="14" xfId="0" applyNumberFormat="1" applyFont="1" applyBorder="1" applyAlignment="1">
      <alignment horizontal="right" vertical="center"/>
    </xf>
    <xf numFmtId="171" fontId="3" fillId="0" borderId="16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1" fontId="3" fillId="0" borderId="0" xfId="0" applyNumberFormat="1" applyFont="1" applyAlignment="1">
      <alignment horizontal="right" vertical="center"/>
    </xf>
    <xf numFmtId="0" fontId="3" fillId="12" borderId="0" xfId="0" applyFont="1" applyFill="1"/>
    <xf numFmtId="38" fontId="3" fillId="12" borderId="0" xfId="1" applyNumberFormat="1" applyFont="1" applyFill="1" applyBorder="1" applyAlignment="1" applyProtection="1">
      <alignment horizontal="right" vertical="center"/>
    </xf>
    <xf numFmtId="169" fontId="3" fillId="0" borderId="0" xfId="1" applyNumberFormat="1" applyFont="1" applyFill="1" applyBorder="1" applyAlignment="1" applyProtection="1">
      <alignment horizontal="right" vertical="center"/>
    </xf>
    <xf numFmtId="171" fontId="3" fillId="0" borderId="14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4" fontId="3" fillId="0" borderId="14" xfId="0" applyNumberFormat="1" applyFont="1" applyBorder="1" applyAlignment="1">
      <alignment horizontal="center" vertical="top"/>
    </xf>
    <xf numFmtId="4" fontId="3" fillId="0" borderId="0" xfId="0" applyNumberFormat="1" applyFont="1" applyAlignment="1">
      <alignment horizontal="center" vertical="top"/>
    </xf>
    <xf numFmtId="4" fontId="3" fillId="0" borderId="15" xfId="0" applyNumberFormat="1" applyFont="1" applyBorder="1" applyAlignment="1">
      <alignment horizontal="center" vertical="top"/>
    </xf>
    <xf numFmtId="3" fontId="3" fillId="0" borderId="14" xfId="0" applyNumberFormat="1" applyFont="1" applyBorder="1" applyAlignment="1">
      <alignment vertical="center"/>
    </xf>
    <xf numFmtId="38" fontId="3" fillId="0" borderId="0" xfId="1" applyNumberFormat="1" applyFont="1" applyFill="1" applyBorder="1" applyAlignment="1" applyProtection="1">
      <alignment vertical="center"/>
    </xf>
    <xf numFmtId="169" fontId="3" fillId="0" borderId="0" xfId="0" applyNumberFormat="1" applyFont="1" applyAlignment="1">
      <alignment vertical="top"/>
    </xf>
    <xf numFmtId="37" fontId="3" fillId="0" borderId="14" xfId="1" applyNumberFormat="1" applyFont="1" applyFill="1" applyBorder="1" applyAlignment="1" applyProtection="1">
      <alignment vertical="center"/>
    </xf>
    <xf numFmtId="169" fontId="3" fillId="0" borderId="0" xfId="1" applyNumberFormat="1" applyFont="1" applyFill="1" applyBorder="1" applyAlignment="1" applyProtection="1">
      <alignment vertical="top"/>
    </xf>
    <xf numFmtId="170" fontId="11" fillId="0" borderId="0" xfId="3" applyNumberFormat="1" applyFont="1" applyFill="1" applyBorder="1" applyAlignment="1">
      <alignment horizontal="right"/>
    </xf>
    <xf numFmtId="169" fontId="3" fillId="0" borderId="14" xfId="0" applyNumberFormat="1" applyFont="1" applyBorder="1" applyAlignment="1">
      <alignment vertical="top"/>
    </xf>
    <xf numFmtId="0" fontId="3" fillId="0" borderId="1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169" fontId="3" fillId="0" borderId="16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15" xfId="0" applyNumberFormat="1" applyFont="1" applyBorder="1" applyAlignment="1">
      <alignment vertical="center"/>
    </xf>
    <xf numFmtId="170" fontId="3" fillId="0" borderId="14" xfId="3" applyNumberFormat="1" applyFont="1" applyFill="1" applyBorder="1" applyAlignment="1">
      <alignment horizontal="left" vertical="center" wrapText="1"/>
    </xf>
    <xf numFmtId="170" fontId="3" fillId="0" borderId="7" xfId="3" applyNumberFormat="1" applyFont="1" applyFill="1" applyBorder="1" applyAlignment="1">
      <alignment horizontal="left" vertical="center" wrapText="1"/>
    </xf>
    <xf numFmtId="4" fontId="3" fillId="0" borderId="14" xfId="0" applyNumberFormat="1" applyFont="1" applyBorder="1" applyAlignment="1">
      <alignment horizontal="right"/>
    </xf>
    <xf numFmtId="4" fontId="3" fillId="0" borderId="0" xfId="0" applyNumberFormat="1" applyFont="1" applyAlignment="1">
      <alignment horizontal="right"/>
    </xf>
    <xf numFmtId="4" fontId="3" fillId="0" borderId="15" xfId="0" applyNumberFormat="1" applyFont="1" applyBorder="1" applyAlignment="1">
      <alignment horizontal="right"/>
    </xf>
    <xf numFmtId="3" fontId="3" fillId="0" borderId="14" xfId="0" applyNumberFormat="1" applyFont="1" applyBorder="1" applyAlignment="1">
      <alignment horizontal="right"/>
    </xf>
    <xf numFmtId="37" fontId="3" fillId="12" borderId="0" xfId="1" applyNumberFormat="1" applyFont="1" applyFill="1" applyBorder="1" applyProtection="1"/>
    <xf numFmtId="37" fontId="3" fillId="0" borderId="14" xfId="1" applyNumberFormat="1" applyFont="1" applyFill="1" applyBorder="1" applyProtection="1"/>
    <xf numFmtId="170" fontId="3" fillId="0" borderId="14" xfId="3" applyNumberFormat="1" applyFont="1" applyFill="1" applyBorder="1" applyAlignment="1">
      <alignment horizontal="right"/>
    </xf>
    <xf numFmtId="170" fontId="3" fillId="0" borderId="7" xfId="3" applyNumberFormat="1" applyFont="1" applyFill="1" applyBorder="1" applyAlignment="1">
      <alignment horizontal="right"/>
    </xf>
    <xf numFmtId="3" fontId="3" fillId="0" borderId="14" xfId="0" applyNumberFormat="1" applyFont="1" applyBorder="1"/>
    <xf numFmtId="3" fontId="3" fillId="0" borderId="0" xfId="0" applyNumberFormat="1" applyFont="1" applyAlignment="1">
      <alignment horizontal="right"/>
    </xf>
    <xf numFmtId="4" fontId="3" fillId="0" borderId="22" xfId="1" applyNumberFormat="1" applyFont="1" applyFill="1" applyBorder="1" applyProtection="1"/>
    <xf numFmtId="4" fontId="3" fillId="0" borderId="23" xfId="1" applyNumberFormat="1" applyFont="1" applyFill="1" applyBorder="1" applyProtection="1"/>
    <xf numFmtId="166" fontId="3" fillId="0" borderId="24" xfId="0" applyNumberFormat="1" applyFont="1" applyBorder="1" applyAlignment="1">
      <alignment vertical="top"/>
    </xf>
    <xf numFmtId="168" fontId="3" fillId="0" borderId="23" xfId="1" applyNumberFormat="1" applyFont="1" applyFill="1" applyBorder="1" applyAlignment="1" applyProtection="1">
      <alignment vertical="top"/>
    </xf>
    <xf numFmtId="6" fontId="3" fillId="0" borderId="23" xfId="0" applyNumberFormat="1" applyFont="1" applyBorder="1" applyAlignment="1">
      <alignment vertical="top"/>
    </xf>
    <xf numFmtId="168" fontId="3" fillId="12" borderId="23" xfId="1" applyNumberFormat="1" applyFont="1" applyFill="1" applyBorder="1" applyAlignment="1" applyProtection="1">
      <alignment vertical="top"/>
    </xf>
    <xf numFmtId="169" fontId="3" fillId="9" borderId="23" xfId="1" applyNumberFormat="1" applyFont="1" applyFill="1" applyBorder="1" applyAlignment="1" applyProtection="1">
      <alignment horizontal="right" vertical="center"/>
    </xf>
    <xf numFmtId="168" fontId="3" fillId="12" borderId="23" xfId="1" applyNumberFormat="1" applyFont="1" applyFill="1" applyBorder="1" applyAlignment="1" applyProtection="1">
      <alignment vertical="center"/>
    </xf>
    <xf numFmtId="168" fontId="3" fillId="12" borderId="23" xfId="1" applyNumberFormat="1" applyFont="1" applyFill="1" applyBorder="1" applyProtection="1"/>
    <xf numFmtId="38" fontId="3" fillId="12" borderId="23" xfId="1" applyNumberFormat="1" applyFont="1" applyFill="1" applyBorder="1" applyAlignment="1" applyProtection="1">
      <alignment horizontal="right" vertical="center"/>
    </xf>
    <xf numFmtId="171" fontId="3" fillId="0" borderId="22" xfId="1" applyNumberFormat="1" applyFont="1" applyFill="1" applyBorder="1" applyProtection="1"/>
    <xf numFmtId="171" fontId="3" fillId="0" borderId="23" xfId="1" applyNumberFormat="1" applyFont="1" applyFill="1" applyBorder="1" applyProtection="1"/>
    <xf numFmtId="170" fontId="11" fillId="0" borderId="23" xfId="3" applyNumberFormat="1" applyFont="1" applyFill="1" applyBorder="1" applyAlignment="1">
      <alignment horizontal="right"/>
    </xf>
    <xf numFmtId="171" fontId="3" fillId="0" borderId="22" xfId="0" applyNumberFormat="1" applyFont="1" applyBorder="1"/>
    <xf numFmtId="170" fontId="3" fillId="0" borderId="24" xfId="3" applyNumberFormat="1" applyFont="1" applyFill="1" applyBorder="1" applyAlignment="1">
      <alignment horizontal="right"/>
    </xf>
    <xf numFmtId="170" fontId="3" fillId="0" borderId="22" xfId="3" applyNumberFormat="1" applyFont="1" applyFill="1" applyBorder="1" applyAlignment="1">
      <alignment horizontal="right"/>
    </xf>
    <xf numFmtId="168" fontId="3" fillId="0" borderId="22" xfId="0" applyNumberFormat="1" applyFont="1" applyBorder="1"/>
    <xf numFmtId="6" fontId="3" fillId="0" borderId="25" xfId="0" applyNumberFormat="1" applyFont="1" applyBorder="1"/>
    <xf numFmtId="4" fontId="3" fillId="0" borderId="14" xfId="0" applyNumberFormat="1" applyFont="1" applyBorder="1"/>
    <xf numFmtId="4" fontId="3" fillId="0" borderId="0" xfId="0" applyNumberFormat="1" applyFont="1"/>
    <xf numFmtId="4" fontId="3" fillId="0" borderId="15" xfId="0" applyNumberFormat="1" applyFont="1" applyBorder="1"/>
    <xf numFmtId="168" fontId="3" fillId="0" borderId="0" xfId="1" applyNumberFormat="1" applyFont="1" applyFill="1" applyBorder="1" applyProtection="1"/>
    <xf numFmtId="168" fontId="3" fillId="12" borderId="0" xfId="1" applyNumberFormat="1" applyFont="1" applyFill="1" applyBorder="1" applyProtection="1"/>
    <xf numFmtId="168" fontId="3" fillId="0" borderId="14" xfId="1" applyNumberFormat="1" applyFont="1" applyFill="1" applyBorder="1" applyProtection="1"/>
    <xf numFmtId="168" fontId="3" fillId="0" borderId="26" xfId="1" applyNumberFormat="1" applyFont="1" applyFill="1" applyBorder="1" applyProtection="1"/>
    <xf numFmtId="171" fontId="3" fillId="0" borderId="14" xfId="0" applyNumberFormat="1" applyFont="1" applyBorder="1"/>
    <xf numFmtId="170" fontId="3" fillId="0" borderId="15" xfId="3" applyNumberFormat="1" applyFont="1" applyBorder="1" applyAlignment="1" applyProtection="1">
      <alignment horizontal="right"/>
    </xf>
    <xf numFmtId="170" fontId="3" fillId="0" borderId="14" xfId="3" applyNumberFormat="1" applyFont="1" applyFill="1" applyBorder="1" applyAlignment="1" applyProtection="1">
      <alignment horizontal="right"/>
    </xf>
    <xf numFmtId="170" fontId="3" fillId="0" borderId="7" xfId="3" applyNumberFormat="1" applyFont="1" applyFill="1" applyBorder="1" applyAlignment="1" applyProtection="1">
      <alignment horizontal="right"/>
    </xf>
    <xf numFmtId="37" fontId="13" fillId="0" borderId="0" xfId="1" applyNumberFormat="1" applyFont="1" applyFill="1" applyBorder="1" applyProtection="1"/>
    <xf numFmtId="37" fontId="13" fillId="12" borderId="0" xfId="1" applyNumberFormat="1" applyFont="1" applyFill="1" applyProtection="1"/>
    <xf numFmtId="0" fontId="13" fillId="12" borderId="0" xfId="0" applyFont="1" applyFill="1"/>
    <xf numFmtId="0" fontId="13" fillId="0" borderId="14" xfId="0" applyFont="1" applyBorder="1"/>
    <xf numFmtId="0" fontId="13" fillId="0" borderId="0" xfId="0" applyFont="1"/>
    <xf numFmtId="0" fontId="13" fillId="0" borderId="7" xfId="0" applyFont="1" applyBorder="1"/>
    <xf numFmtId="169" fontId="3" fillId="0" borderId="14" xfId="0" applyNumberFormat="1" applyFont="1" applyBorder="1"/>
    <xf numFmtId="170" fontId="3" fillId="0" borderId="15" xfId="3" applyNumberFormat="1" applyFont="1" applyBorder="1" applyAlignment="1">
      <alignment horizontal="right"/>
    </xf>
    <xf numFmtId="37" fontId="3" fillId="0" borderId="0" xfId="1" applyNumberFormat="1" applyFont="1" applyFill="1" applyBorder="1" applyProtection="1"/>
    <xf numFmtId="37" fontId="3" fillId="12" borderId="0" xfId="1" applyNumberFormat="1" applyFont="1" applyFill="1" applyProtection="1"/>
    <xf numFmtId="37" fontId="3" fillId="12" borderId="0" xfId="1" applyNumberFormat="1" applyFont="1" applyFill="1" applyAlignment="1" applyProtection="1">
      <alignment vertical="center"/>
    </xf>
    <xf numFmtId="169" fontId="3" fillId="0" borderId="7" xfId="0" applyNumberFormat="1" applyFont="1" applyBorder="1" applyAlignment="1">
      <alignment vertical="top"/>
    </xf>
    <xf numFmtId="169" fontId="3" fillId="0" borderId="14" xfId="0" applyNumberFormat="1" applyFont="1" applyBorder="1" applyAlignment="1">
      <alignment vertical="center"/>
    </xf>
    <xf numFmtId="43" fontId="3" fillId="0" borderId="14" xfId="1" applyFont="1" applyFill="1" applyBorder="1" applyAlignment="1">
      <alignment horizontal="left" vertical="center" wrapText="1"/>
    </xf>
    <xf numFmtId="43" fontId="3" fillId="0" borderId="7" xfId="1" applyFont="1" applyFill="1" applyBorder="1" applyAlignment="1">
      <alignment horizontal="left" vertical="center" wrapText="1"/>
    </xf>
    <xf numFmtId="169" fontId="3" fillId="0" borderId="1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4" fontId="3" fillId="0" borderId="14" xfId="0" applyNumberFormat="1" applyFont="1" applyBorder="1" applyAlignment="1">
      <alignment horizontal="right" vertical="center"/>
    </xf>
    <xf numFmtId="170" fontId="3" fillId="0" borderId="14" xfId="3" applyNumberFormat="1" applyFont="1" applyFill="1" applyBorder="1" applyAlignment="1">
      <alignment horizontal="left"/>
    </xf>
    <xf numFmtId="170" fontId="3" fillId="0" borderId="7" xfId="3" applyNumberFormat="1" applyFont="1" applyFill="1" applyBorder="1" applyAlignment="1">
      <alignment horizontal="left"/>
    </xf>
    <xf numFmtId="169" fontId="3" fillId="0" borderId="16" xfId="0" applyNumberFormat="1" applyFont="1" applyBorder="1" applyAlignment="1">
      <alignment vertical="top"/>
    </xf>
    <xf numFmtId="170" fontId="3" fillId="0" borderId="15" xfId="3" applyNumberFormat="1" applyFont="1" applyFill="1" applyBorder="1" applyAlignment="1">
      <alignment horizontal="right"/>
    </xf>
    <xf numFmtId="166" fontId="3" fillId="0" borderId="15" xfId="0" applyNumberFormat="1" applyFont="1" applyBorder="1" applyAlignment="1">
      <alignment vertical="top"/>
    </xf>
    <xf numFmtId="4" fontId="3" fillId="0" borderId="22" xfId="1" applyNumberFormat="1" applyFont="1" applyBorder="1" applyProtection="1"/>
    <xf numFmtId="168" fontId="3" fillId="0" borderId="23" xfId="1" applyNumberFormat="1" applyFont="1" applyFill="1" applyBorder="1" applyProtection="1"/>
    <xf numFmtId="171" fontId="3" fillId="0" borderId="23" xfId="0" applyNumberFormat="1" applyFont="1" applyBorder="1" applyAlignment="1">
      <alignment horizontal="right" vertical="center"/>
    </xf>
    <xf numFmtId="171" fontId="3" fillId="0" borderId="27" xfId="0" applyNumberFormat="1" applyFont="1" applyBorder="1"/>
    <xf numFmtId="171" fontId="3" fillId="0" borderId="25" xfId="0" applyNumberFormat="1" applyFont="1" applyBorder="1"/>
    <xf numFmtId="170" fontId="11" fillId="0" borderId="7" xfId="3" applyNumberFormat="1" applyFont="1" applyFill="1" applyBorder="1" applyAlignment="1">
      <alignment horizontal="right" vertical="center"/>
    </xf>
    <xf numFmtId="169" fontId="3" fillId="0" borderId="14" xfId="1" applyNumberFormat="1" applyFont="1" applyFill="1" applyBorder="1" applyProtection="1"/>
    <xf numFmtId="37" fontId="3" fillId="0" borderId="7" xfId="1" applyNumberFormat="1" applyFont="1" applyFill="1" applyBorder="1" applyProtection="1"/>
    <xf numFmtId="168" fontId="3" fillId="0" borderId="14" xfId="0" applyNumberFormat="1" applyFont="1" applyBorder="1" applyAlignment="1">
      <alignment vertical="top"/>
    </xf>
    <xf numFmtId="43" fontId="3" fillId="12" borderId="0" xfId="1" applyFont="1" applyFill="1" applyBorder="1" applyAlignment="1" applyProtection="1">
      <alignment horizontal="right" vertical="center"/>
    </xf>
    <xf numFmtId="38" fontId="3" fillId="12" borderId="0" xfId="1" applyNumberFormat="1" applyFont="1" applyFill="1" applyBorder="1" applyAlignment="1" applyProtection="1">
      <alignment vertical="center"/>
    </xf>
    <xf numFmtId="172" fontId="3" fillId="12" borderId="0" xfId="1" applyNumberFormat="1" applyFont="1" applyFill="1" applyBorder="1" applyAlignment="1" applyProtection="1">
      <alignment horizontal="right" vertical="center"/>
    </xf>
    <xf numFmtId="37" fontId="3" fillId="12" borderId="0" xfId="1" applyNumberFormat="1" applyFont="1" applyFill="1" applyBorder="1" applyAlignment="1" applyProtection="1">
      <alignment vertical="center"/>
    </xf>
    <xf numFmtId="3" fontId="3" fillId="0" borderId="14" xfId="0" applyNumberFormat="1" applyFont="1" applyBorder="1" applyAlignment="1">
      <alignment vertical="top"/>
    </xf>
    <xf numFmtId="37" fontId="3" fillId="12" borderId="0" xfId="1" applyNumberFormat="1" applyFont="1" applyFill="1" applyProtection="1">
      <protection locked="0"/>
    </xf>
    <xf numFmtId="168" fontId="3" fillId="0" borderId="14" xfId="1" applyNumberFormat="1" applyFont="1" applyFill="1" applyBorder="1" applyAlignment="1" applyProtection="1">
      <alignment vertical="top"/>
    </xf>
    <xf numFmtId="168" fontId="3" fillId="12" borderId="0" xfId="1" applyNumberFormat="1" applyFont="1" applyFill="1" applyProtection="1"/>
    <xf numFmtId="0" fontId="3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right" vertical="top"/>
    </xf>
    <xf numFmtId="37" fontId="3" fillId="12" borderId="0" xfId="1" applyNumberFormat="1" applyFont="1" applyFill="1" applyBorder="1" applyAlignment="1" applyProtection="1">
      <alignment vertical="top"/>
    </xf>
    <xf numFmtId="37" fontId="3" fillId="0" borderId="14" xfId="1" applyNumberFormat="1" applyFont="1" applyFill="1" applyBorder="1" applyAlignment="1" applyProtection="1">
      <alignment vertical="top"/>
    </xf>
    <xf numFmtId="44" fontId="3" fillId="0" borderId="14" xfId="2" applyFont="1" applyFill="1" applyBorder="1" applyAlignment="1">
      <alignment horizontal="left" vertical="center" wrapText="1"/>
    </xf>
    <xf numFmtId="44" fontId="3" fillId="0" borderId="7" xfId="2" applyFont="1" applyFill="1" applyBorder="1" applyAlignment="1">
      <alignment horizontal="left" vertical="center" wrapText="1"/>
    </xf>
    <xf numFmtId="4" fontId="3" fillId="0" borderId="14" xfId="0" applyNumberFormat="1" applyFont="1" applyBorder="1" applyAlignment="1">
      <alignment horizontal="right" vertical="top"/>
    </xf>
    <xf numFmtId="6" fontId="3" fillId="12" borderId="23" xfId="1" applyNumberFormat="1" applyFont="1" applyFill="1" applyBorder="1" applyProtection="1"/>
    <xf numFmtId="168" fontId="3" fillId="0" borderId="0" xfId="1" applyNumberFormat="1" applyFont="1" applyFill="1" applyBorder="1" applyAlignment="1" applyProtection="1">
      <alignment vertical="top"/>
    </xf>
    <xf numFmtId="171" fontId="3" fillId="0" borderId="16" xfId="0" applyNumberFormat="1" applyFont="1" applyBorder="1"/>
    <xf numFmtId="37" fontId="3" fillId="0" borderId="14" xfId="1" applyNumberFormat="1" applyFont="1" applyFill="1" applyBorder="1" applyProtection="1">
      <protection locked="0"/>
    </xf>
    <xf numFmtId="37" fontId="3" fillId="0" borderId="28" xfId="1" applyNumberFormat="1" applyFont="1" applyFill="1" applyBorder="1" applyProtection="1"/>
    <xf numFmtId="168" fontId="3" fillId="0" borderId="7" xfId="1" applyNumberFormat="1" applyFont="1" applyFill="1" applyBorder="1" applyProtection="1"/>
    <xf numFmtId="171" fontId="3" fillId="0" borderId="23" xfId="1" applyNumberFormat="1" applyFont="1" applyFill="1" applyBorder="1" applyProtection="1">
      <protection locked="0"/>
    </xf>
    <xf numFmtId="168" fontId="3" fillId="12" borderId="0" xfId="1" applyNumberFormat="1" applyFont="1" applyFill="1" applyAlignment="1" applyProtection="1">
      <alignment vertical="center"/>
    </xf>
    <xf numFmtId="168" fontId="3" fillId="0" borderId="14" xfId="1" applyNumberFormat="1" applyFont="1" applyFill="1" applyBorder="1" applyAlignment="1" applyProtection="1">
      <alignment vertical="center"/>
    </xf>
    <xf numFmtId="168" fontId="3" fillId="0" borderId="0" xfId="1" applyNumberFormat="1" applyFont="1" applyFill="1" applyBorder="1" applyAlignment="1" applyProtection="1">
      <alignment vertical="center"/>
    </xf>
    <xf numFmtId="171" fontId="3" fillId="0" borderId="14" xfId="0" applyNumberFormat="1" applyFont="1" applyBorder="1" applyAlignment="1">
      <alignment vertical="center"/>
    </xf>
    <xf numFmtId="171" fontId="3" fillId="0" borderId="16" xfId="0" applyNumberFormat="1" applyFont="1" applyBorder="1" applyAlignment="1">
      <alignment vertical="center"/>
    </xf>
    <xf numFmtId="166" fontId="3" fillId="0" borderId="15" xfId="0" applyNumberFormat="1" applyFont="1" applyBorder="1" applyAlignment="1">
      <alignment vertical="center"/>
    </xf>
    <xf numFmtId="37" fontId="3" fillId="12" borderId="0" xfId="1" applyNumberFormat="1" applyFont="1" applyFill="1" applyAlignment="1" applyProtection="1">
      <alignment vertical="center"/>
      <protection locked="0"/>
    </xf>
    <xf numFmtId="37" fontId="3" fillId="0" borderId="14" xfId="1" applyNumberFormat="1" applyFont="1" applyFill="1" applyBorder="1" applyAlignment="1" applyProtection="1">
      <alignment vertical="center"/>
      <protection locked="0"/>
    </xf>
    <xf numFmtId="0" fontId="10" fillId="0" borderId="0" xfId="0" applyFont="1" applyAlignment="1">
      <alignment horizontal="left"/>
    </xf>
    <xf numFmtId="168" fontId="3" fillId="0" borderId="22" xfId="1" applyNumberFormat="1" applyFont="1" applyFill="1" applyBorder="1" applyProtection="1"/>
    <xf numFmtId="4" fontId="4" fillId="0" borderId="14" xfId="0" applyNumberFormat="1" applyFont="1" applyBorder="1"/>
    <xf numFmtId="169" fontId="3" fillId="0" borderId="15" xfId="0" applyNumberFormat="1" applyFont="1" applyBorder="1"/>
    <xf numFmtId="169" fontId="3" fillId="0" borderId="7" xfId="0" applyNumberFormat="1" applyFont="1" applyBorder="1"/>
    <xf numFmtId="170" fontId="3" fillId="0" borderId="15" xfId="3" applyNumberFormat="1" applyFont="1" applyFill="1" applyBorder="1" applyAlignment="1">
      <alignment horizontal="right" vertical="top"/>
    </xf>
    <xf numFmtId="4" fontId="3" fillId="0" borderId="14" xfId="0" applyNumberFormat="1" applyFont="1" applyBorder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4" fontId="3" fillId="0" borderId="15" xfId="0" applyNumberFormat="1" applyFont="1" applyBorder="1" applyAlignment="1">
      <alignment horizontal="left" vertical="center"/>
    </xf>
    <xf numFmtId="37" fontId="3" fillId="12" borderId="0" xfId="1" applyNumberFormat="1" applyFont="1" applyFill="1" applyAlignment="1" applyProtection="1">
      <alignment horizontal="right" vertical="center"/>
      <protection locked="0"/>
    </xf>
    <xf numFmtId="37" fontId="3" fillId="0" borderId="14" xfId="1" applyNumberFormat="1" applyFont="1" applyFill="1" applyBorder="1" applyAlignment="1" applyProtection="1">
      <alignment horizontal="right" vertical="center"/>
      <protection locked="0"/>
    </xf>
    <xf numFmtId="170" fontId="3" fillId="0" borderId="28" xfId="3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41" fontId="3" fillId="12" borderId="0" xfId="1" applyNumberFormat="1" applyFont="1" applyFill="1" applyBorder="1" applyAlignment="1" applyProtection="1">
      <alignment horizontal="right" vertical="center"/>
    </xf>
    <xf numFmtId="41" fontId="3" fillId="12" borderId="0" xfId="1" applyNumberFormat="1" applyFont="1" applyFill="1" applyProtection="1"/>
    <xf numFmtId="6" fontId="3" fillId="0" borderId="0" xfId="0" applyNumberFormat="1" applyFont="1"/>
    <xf numFmtId="170" fontId="15" fillId="0" borderId="14" xfId="3" applyNumberFormat="1" applyFont="1" applyFill="1" applyBorder="1" applyAlignment="1">
      <alignment horizontal="center"/>
    </xf>
    <xf numFmtId="170" fontId="15" fillId="0" borderId="7" xfId="3" applyNumberFormat="1" applyFont="1" applyFill="1" applyBorder="1" applyAlignment="1">
      <alignment horizontal="center"/>
    </xf>
    <xf numFmtId="38" fontId="3" fillId="0" borderId="0" xfId="1" applyNumberFormat="1" applyFont="1" applyFill="1" applyBorder="1" applyAlignment="1" applyProtection="1">
      <alignment vertical="top"/>
    </xf>
    <xf numFmtId="169" fontId="3" fillId="0" borderId="0" xfId="0" applyNumberFormat="1" applyFont="1" applyAlignment="1">
      <alignment horizontal="right" vertical="center"/>
    </xf>
    <xf numFmtId="169" fontId="3" fillId="0" borderId="0" xfId="0" applyNumberFormat="1" applyFont="1"/>
    <xf numFmtId="3" fontId="3" fillId="0" borderId="0" xfId="0" applyNumberFormat="1" applyFont="1"/>
    <xf numFmtId="4" fontId="3" fillId="0" borderId="23" xfId="1" applyNumberFormat="1" applyFont="1" applyBorder="1" applyProtection="1"/>
    <xf numFmtId="0" fontId="3" fillId="0" borderId="25" xfId="0" applyFont="1" applyBorder="1"/>
    <xf numFmtId="4" fontId="3" fillId="0" borderId="13" xfId="0" applyNumberFormat="1" applyFont="1" applyBorder="1"/>
    <xf numFmtId="0" fontId="9" fillId="12" borderId="0" xfId="0" applyFont="1" applyFill="1"/>
    <xf numFmtId="0" fontId="9" fillId="0" borderId="0" xfId="0" applyFont="1"/>
    <xf numFmtId="0" fontId="9" fillId="0" borderId="7" xfId="0" applyFont="1" applyBorder="1"/>
    <xf numFmtId="4" fontId="3" fillId="0" borderId="14" xfId="0" applyNumberFormat="1" applyFont="1" applyBorder="1" applyAlignment="1">
      <alignment vertical="top"/>
    </xf>
    <xf numFmtId="4" fontId="3" fillId="0" borderId="0" xfId="0" applyNumberFormat="1" applyFont="1" applyAlignment="1">
      <alignment vertical="top"/>
    </xf>
    <xf numFmtId="4" fontId="3" fillId="0" borderId="15" xfId="0" applyNumberFormat="1" applyFont="1" applyBorder="1" applyAlignment="1">
      <alignment vertical="top"/>
    </xf>
    <xf numFmtId="37" fontId="3" fillId="12" borderId="0" xfId="1" applyNumberFormat="1" applyFont="1" applyFill="1" applyAlignment="1" applyProtection="1">
      <alignment vertical="top"/>
      <protection locked="0"/>
    </xf>
    <xf numFmtId="6" fontId="3" fillId="0" borderId="22" xfId="1" applyNumberFormat="1" applyFont="1" applyBorder="1" applyProtection="1"/>
    <xf numFmtId="0" fontId="16" fillId="0" borderId="0" xfId="0" applyFont="1"/>
    <xf numFmtId="0" fontId="16" fillId="12" borderId="0" xfId="0" applyFont="1" applyFill="1"/>
    <xf numFmtId="0" fontId="16" fillId="0" borderId="14" xfId="0" applyFont="1" applyBorder="1"/>
    <xf numFmtId="170" fontId="11" fillId="0" borderId="12" xfId="3" applyNumberFormat="1" applyFont="1" applyFill="1" applyBorder="1" applyAlignment="1">
      <alignment horizontal="right"/>
    </xf>
    <xf numFmtId="170" fontId="11" fillId="0" borderId="7" xfId="3" applyNumberFormat="1" applyFont="1" applyFill="1" applyBorder="1" applyAlignment="1">
      <alignment horizontal="right"/>
    </xf>
    <xf numFmtId="169" fontId="16" fillId="0" borderId="14" xfId="0" applyNumberFormat="1" applyFont="1" applyBorder="1"/>
    <xf numFmtId="170" fontId="3" fillId="0" borderId="15" xfId="3" applyNumberFormat="1" applyFont="1" applyFill="1" applyBorder="1"/>
    <xf numFmtId="170" fontId="3" fillId="0" borderId="14" xfId="3" applyNumberFormat="1" applyFont="1" applyFill="1" applyBorder="1"/>
    <xf numFmtId="170" fontId="3" fillId="0" borderId="7" xfId="3" applyNumberFormat="1" applyFont="1" applyFill="1" applyBorder="1"/>
    <xf numFmtId="169" fontId="17" fillId="0" borderId="14" xfId="0" applyNumberFormat="1" applyFont="1" applyBorder="1"/>
    <xf numFmtId="170" fontId="11" fillId="0" borderId="15" xfId="3" applyNumberFormat="1" applyFont="1" applyFill="1" applyBorder="1" applyAlignment="1">
      <alignment horizontal="right"/>
    </xf>
    <xf numFmtId="170" fontId="11" fillId="0" borderId="29" xfId="3" applyNumberFormat="1" applyFont="1" applyFill="1" applyBorder="1" applyAlignment="1">
      <alignment horizontal="right"/>
    </xf>
    <xf numFmtId="168" fontId="3" fillId="9" borderId="23" xfId="1" applyNumberFormat="1" applyFont="1" applyFill="1" applyBorder="1" applyProtection="1"/>
    <xf numFmtId="4" fontId="3" fillId="0" borderId="14" xfId="1" applyNumberFormat="1" applyFont="1" applyBorder="1" applyProtection="1"/>
    <xf numFmtId="4" fontId="3" fillId="0" borderId="0" xfId="1" applyNumberFormat="1" applyFont="1" applyBorder="1" applyProtection="1"/>
    <xf numFmtId="171" fontId="3" fillId="0" borderId="7" xfId="0" applyNumberFormat="1" applyFont="1" applyBorder="1"/>
    <xf numFmtId="168" fontId="3" fillId="0" borderId="14" xfId="1" applyNumberFormat="1" applyFont="1" applyBorder="1" applyProtection="1"/>
    <xf numFmtId="40" fontId="3" fillId="0" borderId="14" xfId="0" applyNumberFormat="1" applyFont="1" applyBorder="1"/>
    <xf numFmtId="40" fontId="3" fillId="0" borderId="0" xfId="0" applyNumberFormat="1" applyFont="1"/>
    <xf numFmtId="38" fontId="3" fillId="12" borderId="0" xfId="0" applyNumberFormat="1" applyFont="1" applyFill="1"/>
    <xf numFmtId="38" fontId="3" fillId="12" borderId="15" xfId="1" applyNumberFormat="1" applyFont="1" applyFill="1" applyBorder="1" applyAlignment="1" applyProtection="1">
      <alignment horizontal="right" vertical="center"/>
    </xf>
    <xf numFmtId="0" fontId="16" fillId="0" borderId="15" xfId="0" applyFont="1" applyBorder="1"/>
    <xf numFmtId="169" fontId="16" fillId="0" borderId="15" xfId="0" applyNumberFormat="1" applyFont="1" applyBorder="1"/>
    <xf numFmtId="0" fontId="18" fillId="0" borderId="0" xfId="0" applyFont="1"/>
    <xf numFmtId="0" fontId="18" fillId="12" borderId="0" xfId="0" applyFont="1" applyFill="1"/>
    <xf numFmtId="0" fontId="18" fillId="0" borderId="14" xfId="0" applyFont="1" applyBorder="1"/>
    <xf numFmtId="4" fontId="3" fillId="0" borderId="30" xfId="1" applyNumberFormat="1" applyFont="1" applyBorder="1" applyProtection="1"/>
    <xf numFmtId="4" fontId="3" fillId="0" borderId="31" xfId="1" applyNumberFormat="1" applyFont="1" applyBorder="1" applyProtection="1"/>
    <xf numFmtId="166" fontId="3" fillId="0" borderId="32" xfId="0" applyNumberFormat="1" applyFont="1" applyBorder="1"/>
    <xf numFmtId="168" fontId="3" fillId="0" borderId="31" xfId="1" applyNumberFormat="1" applyFont="1" applyFill="1" applyBorder="1" applyProtection="1"/>
    <xf numFmtId="171" fontId="3" fillId="0" borderId="31" xfId="0" applyNumberFormat="1" applyFont="1" applyBorder="1" applyAlignment="1">
      <alignment horizontal="right" vertical="center"/>
    </xf>
    <xf numFmtId="168" fontId="3" fillId="12" borderId="31" xfId="1" applyNumberFormat="1" applyFont="1" applyFill="1" applyBorder="1" applyProtection="1"/>
    <xf numFmtId="169" fontId="3" fillId="9" borderId="31" xfId="1" applyNumberFormat="1" applyFont="1" applyFill="1" applyBorder="1" applyAlignment="1" applyProtection="1">
      <alignment horizontal="right" vertical="center"/>
    </xf>
    <xf numFmtId="6" fontId="3" fillId="12" borderId="31" xfId="1" applyNumberFormat="1" applyFont="1" applyFill="1" applyBorder="1" applyProtection="1"/>
    <xf numFmtId="168" fontId="3" fillId="0" borderId="30" xfId="1" applyNumberFormat="1" applyFont="1" applyFill="1" applyBorder="1" applyProtection="1"/>
    <xf numFmtId="170" fontId="11" fillId="0" borderId="31" xfId="3" applyNumberFormat="1" applyFont="1" applyFill="1" applyBorder="1" applyAlignment="1">
      <alignment horizontal="right"/>
    </xf>
    <xf numFmtId="171" fontId="3" fillId="0" borderId="33" xfId="0" applyNumberFormat="1" applyFont="1" applyBorder="1"/>
    <xf numFmtId="174" fontId="4" fillId="0" borderId="0" xfId="1" applyNumberFormat="1" applyFont="1" applyFill="1" applyProtection="1"/>
    <xf numFmtId="0" fontId="19" fillId="0" borderId="0" xfId="0" applyFont="1"/>
    <xf numFmtId="170" fontId="3" fillId="0" borderId="12" xfId="0" applyNumberFormat="1" applyFont="1" applyBorder="1"/>
    <xf numFmtId="170" fontId="3" fillId="0" borderId="0" xfId="0" applyNumberFormat="1" applyFont="1"/>
    <xf numFmtId="0" fontId="2" fillId="0" borderId="0" xfId="0" applyFont="1" applyFill="1" applyAlignment="1">
      <alignment horizontal="center"/>
    </xf>
  </cellXfs>
  <cellStyles count="6">
    <cellStyle name="Comma" xfId="1" builtinId="3"/>
    <cellStyle name="Currency" xfId="2" builtinId="4"/>
    <cellStyle name="Currency 2" xfId="4" xr:uid="{3362A667-4698-4605-B169-B50B23DB24BF}"/>
    <cellStyle name="Normal" xfId="0" builtinId="0"/>
    <cellStyle name="Normal 2" xfId="5" xr:uid="{2D2EC347-1726-404C-96CE-561027E60CD6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nbed-my.sharepoint.com/personal/shawn_tracey_nbed_nb_ca/Documents/_migrated_Aug_9-2023/Yr%202025-2026/Budget/4th%20Quarter/4th%20Quarter%20as%20of%20Jan%2031.xlsx" TargetMode="External"/><Relationship Id="rId1" Type="http://schemas.openxmlformats.org/officeDocument/2006/relationships/externalLinkPath" Target="4th%20Quarter%20as%20of%20Jan%20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perating Results"/>
      <sheetName val="Salary Projections"/>
      <sheetName val="Maint Veh"/>
      <sheetName val="Heating Fuel"/>
      <sheetName val="Natural Gas"/>
      <sheetName val="Bus Ops"/>
      <sheetName val="2021-22"/>
      <sheetName val="Actuals 2020-21"/>
    </sheetNames>
    <sheetDataSet>
      <sheetData sheetId="0">
        <row r="12">
          <cell r="Q12">
            <v>157569403.12</v>
          </cell>
        </row>
        <row r="14">
          <cell r="Q14">
            <v>6168632.0499999998</v>
          </cell>
        </row>
        <row r="27">
          <cell r="Q27">
            <v>25457347.739999998</v>
          </cell>
        </row>
        <row r="29">
          <cell r="Q29">
            <v>1848403.31</v>
          </cell>
        </row>
        <row r="30">
          <cell r="Q30">
            <v>3866822.01</v>
          </cell>
        </row>
        <row r="33">
          <cell r="Q33">
            <v>2526321.08</v>
          </cell>
        </row>
        <row r="35">
          <cell r="Q35">
            <v>4138.6499999999996</v>
          </cell>
        </row>
        <row r="40">
          <cell r="Q40">
            <v>3789115.78</v>
          </cell>
        </row>
        <row r="42">
          <cell r="Q42">
            <v>75612.88</v>
          </cell>
        </row>
        <row r="43">
          <cell r="Q43">
            <v>406660.71</v>
          </cell>
        </row>
        <row r="45">
          <cell r="Q45">
            <v>3265729.74</v>
          </cell>
        </row>
        <row r="48">
          <cell r="Q48">
            <v>570778.13</v>
          </cell>
        </row>
        <row r="50">
          <cell r="Q50">
            <v>24836.27</v>
          </cell>
        </row>
        <row r="51">
          <cell r="Q51">
            <v>43645.29</v>
          </cell>
        </row>
        <row r="59">
          <cell r="Q59">
            <v>332439.65000000002</v>
          </cell>
        </row>
        <row r="79">
          <cell r="Q79">
            <v>10095739.689999999</v>
          </cell>
        </row>
        <row r="81">
          <cell r="Q81">
            <v>136876.89000000001</v>
          </cell>
        </row>
        <row r="83">
          <cell r="Q83">
            <v>425225.94</v>
          </cell>
        </row>
        <row r="84">
          <cell r="Q84">
            <v>1032988.51</v>
          </cell>
        </row>
        <row r="94">
          <cell r="Q94">
            <v>425055.62</v>
          </cell>
        </row>
        <row r="96">
          <cell r="Q96">
            <v>488755.82</v>
          </cell>
        </row>
        <row r="97">
          <cell r="Q97">
            <v>336159.16</v>
          </cell>
        </row>
        <row r="108">
          <cell r="Q108">
            <v>6924884.9800000004</v>
          </cell>
        </row>
        <row r="110">
          <cell r="Q110">
            <v>387728.77</v>
          </cell>
        </row>
        <row r="111">
          <cell r="Q111">
            <v>207214.25</v>
          </cell>
        </row>
        <row r="112">
          <cell r="Q112">
            <v>1015455.98</v>
          </cell>
        </row>
        <row r="114">
          <cell r="Q114">
            <v>3855336.77</v>
          </cell>
        </row>
        <row r="127">
          <cell r="Q127">
            <v>5519668.5</v>
          </cell>
        </row>
        <row r="129">
          <cell r="Q129">
            <v>235782.65000000002</v>
          </cell>
        </row>
      </sheetData>
      <sheetData sheetId="1">
        <row r="10">
          <cell r="B10">
            <v>181724426.09999999</v>
          </cell>
          <cell r="E10">
            <v>32732986.669999998</v>
          </cell>
          <cell r="H10">
            <v>3159228.0210000002</v>
          </cell>
          <cell r="K10">
            <v>4562394.801</v>
          </cell>
          <cell r="N10">
            <v>3968167.8540000003</v>
          </cell>
          <cell r="Q10">
            <v>651817.34299999999</v>
          </cell>
          <cell r="T10">
            <v>406282.2</v>
          </cell>
          <cell r="W10">
            <v>11950166.445999999</v>
          </cell>
          <cell r="Z10">
            <v>8455716.5050000008</v>
          </cell>
          <cell r="AC10">
            <v>8399126.7879999988</v>
          </cell>
        </row>
        <row r="17">
          <cell r="B17">
            <v>8638260.398</v>
          </cell>
          <cell r="E17">
            <v>2519789.2859999998</v>
          </cell>
          <cell r="H17">
            <v>9256.9969999999994</v>
          </cell>
          <cell r="K17">
            <v>116990.08199999999</v>
          </cell>
          <cell r="Q17">
            <v>24836.23</v>
          </cell>
          <cell r="W17">
            <v>193071.67800000001</v>
          </cell>
          <cell r="Z17">
            <v>481655.63800000004</v>
          </cell>
          <cell r="AC17">
            <v>108733.67800000001</v>
          </cell>
        </row>
        <row r="24">
          <cell r="E24">
            <v>5286343.176</v>
          </cell>
          <cell r="K24">
            <v>493096.34200000006</v>
          </cell>
          <cell r="Q24">
            <v>46637.874000000003</v>
          </cell>
          <cell r="W24">
            <v>513854.32400000002</v>
          </cell>
          <cell r="Z24">
            <v>289034.48200000002</v>
          </cell>
          <cell r="AC24">
            <v>175955.40400000001</v>
          </cell>
        </row>
        <row r="31">
          <cell r="W31">
            <v>1327470.074</v>
          </cell>
          <cell r="Z31">
            <v>1268961.5249999999</v>
          </cell>
          <cell r="AC31">
            <v>98061.91</v>
          </cell>
        </row>
      </sheetData>
      <sheetData sheetId="2">
        <row r="32">
          <cell r="N32">
            <v>622380.79799999984</v>
          </cell>
        </row>
      </sheetData>
      <sheetData sheetId="3">
        <row r="33">
          <cell r="AC33">
            <v>777607.36144632008</v>
          </cell>
        </row>
      </sheetData>
      <sheetData sheetId="4">
        <row r="373">
          <cell r="N373">
            <v>638791.67445629032</v>
          </cell>
        </row>
      </sheetData>
      <sheetData sheetId="5">
        <row r="39">
          <cell r="O39">
            <v>6850936.7499999991</v>
          </cell>
        </row>
      </sheetData>
      <sheetData sheetId="6">
        <row r="45">
          <cell r="C45">
            <v>139777642.06999999</v>
          </cell>
        </row>
        <row r="46">
          <cell r="C46">
            <v>12338.89</v>
          </cell>
        </row>
        <row r="47">
          <cell r="C47">
            <v>5561012.0899999999</v>
          </cell>
        </row>
        <row r="48">
          <cell r="C48">
            <v>1749.56</v>
          </cell>
        </row>
        <row r="49">
          <cell r="C49">
            <v>0</v>
          </cell>
        </row>
        <row r="50">
          <cell r="C50">
            <v>1431.75</v>
          </cell>
        </row>
        <row r="51">
          <cell r="C51">
            <v>12937.15</v>
          </cell>
        </row>
        <row r="52">
          <cell r="C52">
            <v>1405.12</v>
          </cell>
        </row>
        <row r="53">
          <cell r="C53">
            <v>174.95</v>
          </cell>
        </row>
        <row r="54">
          <cell r="C54">
            <v>384.91</v>
          </cell>
        </row>
        <row r="55">
          <cell r="C55">
            <v>5009.78</v>
          </cell>
        </row>
        <row r="56">
          <cell r="C56">
            <v>1289.55</v>
          </cell>
        </row>
        <row r="57">
          <cell r="C57">
            <v>210.1</v>
          </cell>
        </row>
        <row r="58">
          <cell r="C58">
            <v>98982.24</v>
          </cell>
        </row>
        <row r="59">
          <cell r="C59">
            <v>161.91999999999999</v>
          </cell>
        </row>
        <row r="60">
          <cell r="C60">
            <v>217368</v>
          </cell>
        </row>
        <row r="61">
          <cell r="C61">
            <v>300</v>
          </cell>
        </row>
        <row r="62">
          <cell r="C62">
            <v>10.27</v>
          </cell>
        </row>
        <row r="63">
          <cell r="C63">
            <v>446213.99</v>
          </cell>
        </row>
        <row r="64">
          <cell r="C64">
            <v>10</v>
          </cell>
        </row>
        <row r="65">
          <cell r="C65">
            <v>29236.28</v>
          </cell>
        </row>
        <row r="66">
          <cell r="C66">
            <v>439.95</v>
          </cell>
        </row>
        <row r="67">
          <cell r="C67">
            <v>75</v>
          </cell>
        </row>
        <row r="68">
          <cell r="C68">
            <v>4835.6099999999997</v>
          </cell>
        </row>
        <row r="69">
          <cell r="C69">
            <v>3000</v>
          </cell>
        </row>
        <row r="70">
          <cell r="C70">
            <v>562.32000000000005</v>
          </cell>
        </row>
        <row r="71">
          <cell r="C71">
            <v>1534.23</v>
          </cell>
        </row>
        <row r="72">
          <cell r="C72">
            <v>962.57</v>
          </cell>
        </row>
        <row r="73">
          <cell r="C73">
            <v>3586.33</v>
          </cell>
        </row>
        <row r="74">
          <cell r="C74">
            <v>27293.119999999999</v>
          </cell>
        </row>
        <row r="75">
          <cell r="C75">
            <v>173159.28</v>
          </cell>
        </row>
        <row r="76">
          <cell r="C76">
            <v>123.5</v>
          </cell>
        </row>
        <row r="77">
          <cell r="C77">
            <v>742.79</v>
          </cell>
        </row>
        <row r="78">
          <cell r="C78">
            <v>3014.41</v>
          </cell>
        </row>
        <row r="79">
          <cell r="C79">
            <v>1261.73</v>
          </cell>
        </row>
        <row r="80">
          <cell r="C80">
            <v>2744.3</v>
          </cell>
        </row>
        <row r="81">
          <cell r="C81">
            <v>35410.69</v>
          </cell>
        </row>
        <row r="82">
          <cell r="C82">
            <v>411.98</v>
          </cell>
        </row>
        <row r="83">
          <cell r="C83">
            <v>1424.28</v>
          </cell>
        </row>
        <row r="84">
          <cell r="C84">
            <v>23056.54</v>
          </cell>
        </row>
        <row r="85">
          <cell r="C85">
            <v>3531.48</v>
          </cell>
        </row>
        <row r="86">
          <cell r="C86">
            <v>3531.65</v>
          </cell>
        </row>
        <row r="87">
          <cell r="C87">
            <v>71329.45</v>
          </cell>
        </row>
        <row r="88">
          <cell r="C88">
            <v>923303</v>
          </cell>
        </row>
        <row r="89">
          <cell r="C89">
            <v>48931.19</v>
          </cell>
        </row>
        <row r="90">
          <cell r="C90">
            <v>0</v>
          </cell>
        </row>
        <row r="91">
          <cell r="C91">
            <v>7279.21</v>
          </cell>
        </row>
        <row r="92">
          <cell r="C92">
            <v>450</v>
          </cell>
        </row>
        <row r="93">
          <cell r="C93">
            <v>1456</v>
          </cell>
        </row>
        <row r="94">
          <cell r="C94">
            <v>129537.38</v>
          </cell>
        </row>
        <row r="95">
          <cell r="C95">
            <v>78290.7</v>
          </cell>
        </row>
        <row r="96">
          <cell r="C96">
            <v>150000</v>
          </cell>
        </row>
        <row r="97">
          <cell r="C97">
            <v>56150.77</v>
          </cell>
        </row>
        <row r="98">
          <cell r="C98">
            <v>2607524.2599999998</v>
          </cell>
        </row>
        <row r="99">
          <cell r="C99">
            <v>161627.12</v>
          </cell>
        </row>
        <row r="100">
          <cell r="C100">
            <v>12813.12</v>
          </cell>
        </row>
        <row r="101">
          <cell r="C101">
            <v>237.17</v>
          </cell>
        </row>
        <row r="102">
          <cell r="C102">
            <v>1449.98</v>
          </cell>
        </row>
        <row r="103">
          <cell r="C103">
            <v>18801.560000000001</v>
          </cell>
        </row>
        <row r="104">
          <cell r="C104">
            <v>99991.97</v>
          </cell>
        </row>
        <row r="105">
          <cell r="C105">
            <v>64720.62</v>
          </cell>
        </row>
        <row r="106">
          <cell r="C106">
            <v>15810.36</v>
          </cell>
        </row>
        <row r="107">
          <cell r="C107">
            <v>134562.04</v>
          </cell>
        </row>
        <row r="112">
          <cell r="C112">
            <v>126.28</v>
          </cell>
        </row>
        <row r="113">
          <cell r="C113">
            <v>96206</v>
          </cell>
        </row>
        <row r="114">
          <cell r="C114">
            <v>3033.82</v>
          </cell>
        </row>
        <row r="115">
          <cell r="C115">
            <v>2403.13</v>
          </cell>
        </row>
        <row r="116">
          <cell r="C116">
            <v>442.7</v>
          </cell>
        </row>
        <row r="117">
          <cell r="C117">
            <v>64.540000000000006</v>
          </cell>
        </row>
        <row r="118">
          <cell r="C118">
            <v>79104.08</v>
          </cell>
        </row>
        <row r="119">
          <cell r="C119">
            <v>235.8</v>
          </cell>
        </row>
        <row r="120">
          <cell r="C120">
            <v>3289</v>
          </cell>
        </row>
        <row r="121">
          <cell r="C121">
            <v>296605.94</v>
          </cell>
        </row>
        <row r="122">
          <cell r="C122">
            <v>2700.47</v>
          </cell>
        </row>
        <row r="123">
          <cell r="C123">
            <v>84.38</v>
          </cell>
        </row>
        <row r="124">
          <cell r="C124">
            <v>10037.209999999999</v>
          </cell>
        </row>
        <row r="125">
          <cell r="C125">
            <v>4.4000000000000004</v>
          </cell>
        </row>
        <row r="126">
          <cell r="C126">
            <v>1482.42</v>
          </cell>
        </row>
        <row r="127">
          <cell r="C127">
            <v>53050.3</v>
          </cell>
        </row>
        <row r="128">
          <cell r="C128">
            <v>13590.88</v>
          </cell>
        </row>
        <row r="129">
          <cell r="C129">
            <v>27267.37</v>
          </cell>
        </row>
        <row r="130">
          <cell r="C130">
            <v>1859</v>
          </cell>
        </row>
        <row r="131">
          <cell r="C131">
            <v>790.42</v>
          </cell>
        </row>
        <row r="132">
          <cell r="C132">
            <v>3553.66</v>
          </cell>
        </row>
        <row r="133">
          <cell r="C133">
            <v>1459.68</v>
          </cell>
        </row>
        <row r="134">
          <cell r="C134">
            <v>42.97</v>
          </cell>
        </row>
        <row r="135">
          <cell r="C135">
            <v>90032.33</v>
          </cell>
        </row>
        <row r="136">
          <cell r="C136">
            <v>12023.57</v>
          </cell>
        </row>
        <row r="137">
          <cell r="C137">
            <v>1214.75</v>
          </cell>
        </row>
        <row r="138">
          <cell r="C138">
            <v>186.98</v>
          </cell>
        </row>
        <row r="139">
          <cell r="C139">
            <v>2531.81</v>
          </cell>
        </row>
        <row r="140">
          <cell r="C140">
            <v>105.97</v>
          </cell>
        </row>
        <row r="141">
          <cell r="C141">
            <v>167.95</v>
          </cell>
        </row>
        <row r="142">
          <cell r="C142">
            <v>157953.53</v>
          </cell>
        </row>
        <row r="143">
          <cell r="C143">
            <v>18659.080000000002</v>
          </cell>
        </row>
        <row r="144">
          <cell r="C144">
            <v>841.73</v>
          </cell>
        </row>
        <row r="145">
          <cell r="C145">
            <v>1575.87</v>
          </cell>
        </row>
        <row r="146">
          <cell r="C146">
            <v>31037.07</v>
          </cell>
        </row>
        <row r="151">
          <cell r="C151">
            <v>5089486.4000000004</v>
          </cell>
        </row>
        <row r="152">
          <cell r="C152">
            <v>120550.47</v>
          </cell>
        </row>
        <row r="153">
          <cell r="C153">
            <v>264490.12</v>
          </cell>
        </row>
        <row r="154">
          <cell r="C154">
            <v>-8465.76</v>
          </cell>
        </row>
        <row r="155">
          <cell r="C155">
            <v>170.17</v>
          </cell>
        </row>
        <row r="156">
          <cell r="C156">
            <v>4740.6000000000004</v>
          </cell>
        </row>
        <row r="157">
          <cell r="C157">
            <v>79.2</v>
          </cell>
        </row>
        <row r="158">
          <cell r="C158">
            <v>2467.4</v>
          </cell>
        </row>
        <row r="159">
          <cell r="C159">
            <v>3353.91</v>
          </cell>
        </row>
        <row r="160">
          <cell r="C160">
            <v>103</v>
          </cell>
        </row>
        <row r="161">
          <cell r="C161">
            <v>412.15</v>
          </cell>
        </row>
        <row r="162">
          <cell r="C162">
            <v>128.75</v>
          </cell>
        </row>
        <row r="163">
          <cell r="C163">
            <v>167.95</v>
          </cell>
        </row>
        <row r="164">
          <cell r="C164">
            <v>280897.43</v>
          </cell>
        </row>
        <row r="165">
          <cell r="C165">
            <v>2174.9899999999998</v>
          </cell>
        </row>
        <row r="166">
          <cell r="C166">
            <v>32246.03</v>
          </cell>
        </row>
        <row r="167">
          <cell r="C167">
            <v>8.2200000000000006</v>
          </cell>
        </row>
        <row r="168">
          <cell r="C168">
            <v>1788.79</v>
          </cell>
        </row>
        <row r="169">
          <cell r="C169">
            <v>210.35</v>
          </cell>
        </row>
        <row r="170">
          <cell r="C170">
            <v>31.99</v>
          </cell>
        </row>
        <row r="171">
          <cell r="C171">
            <v>627.94000000000005</v>
          </cell>
        </row>
        <row r="172">
          <cell r="C172">
            <v>98.91</v>
          </cell>
        </row>
        <row r="173">
          <cell r="C173">
            <v>108.96</v>
          </cell>
        </row>
        <row r="174">
          <cell r="C174">
            <v>536.82000000000005</v>
          </cell>
        </row>
        <row r="175">
          <cell r="C175">
            <v>24259.1</v>
          </cell>
        </row>
        <row r="176">
          <cell r="C176">
            <v>614.41</v>
          </cell>
        </row>
        <row r="177">
          <cell r="C177">
            <v>3252.68</v>
          </cell>
        </row>
        <row r="178">
          <cell r="C178">
            <v>6159.06</v>
          </cell>
        </row>
        <row r="179">
          <cell r="C179">
            <v>121065.38</v>
          </cell>
        </row>
        <row r="180">
          <cell r="C180">
            <v>539.97</v>
          </cell>
        </row>
        <row r="181">
          <cell r="C181">
            <v>10003.41</v>
          </cell>
        </row>
        <row r="182">
          <cell r="C182">
            <v>1683.65</v>
          </cell>
        </row>
        <row r="183">
          <cell r="C183">
            <v>150</v>
          </cell>
        </row>
        <row r="184">
          <cell r="C184">
            <v>469.62</v>
          </cell>
        </row>
        <row r="185">
          <cell r="C185">
            <v>3328.3</v>
          </cell>
        </row>
        <row r="186">
          <cell r="C186">
            <v>13677.84</v>
          </cell>
        </row>
        <row r="214">
          <cell r="C214">
            <v>159979.72</v>
          </cell>
        </row>
        <row r="217">
          <cell r="C217">
            <v>2870234.16</v>
          </cell>
        </row>
        <row r="218">
          <cell r="C218">
            <v>0</v>
          </cell>
        </row>
        <row r="219">
          <cell r="C219">
            <v>0</v>
          </cell>
        </row>
        <row r="220">
          <cell r="C220">
            <v>2853.18</v>
          </cell>
        </row>
        <row r="221">
          <cell r="C221">
            <v>25.92</v>
          </cell>
        </row>
        <row r="222">
          <cell r="C222">
            <v>19259.689999999999</v>
          </cell>
        </row>
        <row r="223">
          <cell r="C223">
            <v>225.18</v>
          </cell>
        </row>
        <row r="224">
          <cell r="C224">
            <v>331.59</v>
          </cell>
        </row>
        <row r="225">
          <cell r="C225">
            <v>3795.98</v>
          </cell>
        </row>
        <row r="226">
          <cell r="C226">
            <v>2227.7199999999998</v>
          </cell>
        </row>
        <row r="227">
          <cell r="C227">
            <v>0</v>
          </cell>
        </row>
        <row r="228">
          <cell r="C228">
            <v>95.7</v>
          </cell>
        </row>
        <row r="229">
          <cell r="C229">
            <v>1805.45</v>
          </cell>
        </row>
        <row r="230">
          <cell r="C230">
            <v>607.52</v>
          </cell>
        </row>
        <row r="231">
          <cell r="C231">
            <v>377.59</v>
          </cell>
        </row>
        <row r="232">
          <cell r="C232">
            <v>99.45</v>
          </cell>
        </row>
        <row r="237">
          <cell r="C237">
            <v>934549.97</v>
          </cell>
        </row>
        <row r="238">
          <cell r="C238">
            <v>8100.87</v>
          </cell>
        </row>
        <row r="239">
          <cell r="C239">
            <v>188734.53</v>
          </cell>
        </row>
        <row r="242">
          <cell r="C242">
            <v>36846.080000000002</v>
          </cell>
        </row>
        <row r="243">
          <cell r="C243">
            <v>120.62</v>
          </cell>
        </row>
        <row r="244">
          <cell r="C244">
            <v>80671.91</v>
          </cell>
        </row>
        <row r="254">
          <cell r="C254">
            <v>642127.06999999995</v>
          </cell>
        </row>
        <row r="267">
          <cell r="C267">
            <v>6306.31</v>
          </cell>
        </row>
        <row r="278">
          <cell r="C278">
            <v>74728.08</v>
          </cell>
        </row>
        <row r="301">
          <cell r="C301">
            <v>226200</v>
          </cell>
        </row>
        <row r="304">
          <cell r="C304">
            <v>349801.03</v>
          </cell>
        </row>
        <row r="305">
          <cell r="C305">
            <v>113.53</v>
          </cell>
        </row>
        <row r="306">
          <cell r="C306">
            <v>60</v>
          </cell>
        </row>
        <row r="307">
          <cell r="C307">
            <v>35</v>
          </cell>
        </row>
        <row r="308">
          <cell r="C308">
            <v>6002.3</v>
          </cell>
        </row>
        <row r="309">
          <cell r="C309">
            <v>0</v>
          </cell>
        </row>
        <row r="310">
          <cell r="C310">
            <v>96.76</v>
          </cell>
        </row>
        <row r="311">
          <cell r="C311">
            <v>250.43</v>
          </cell>
        </row>
        <row r="312">
          <cell r="C312">
            <v>23.39</v>
          </cell>
        </row>
        <row r="313">
          <cell r="C313">
            <v>60.92</v>
          </cell>
        </row>
        <row r="314">
          <cell r="C314">
            <v>9007.6</v>
          </cell>
        </row>
        <row r="315">
          <cell r="C315">
            <v>1322.97</v>
          </cell>
        </row>
        <row r="316">
          <cell r="C316">
            <v>1106.83</v>
          </cell>
        </row>
        <row r="317">
          <cell r="C317">
            <v>1000</v>
          </cell>
        </row>
        <row r="318">
          <cell r="C318">
            <v>6114.41</v>
          </cell>
        </row>
        <row r="323">
          <cell r="C323">
            <v>26633006.329999998</v>
          </cell>
        </row>
        <row r="324">
          <cell r="C324">
            <v>265505.84999999998</v>
          </cell>
        </row>
        <row r="325">
          <cell r="C325">
            <v>3542054.38</v>
          </cell>
        </row>
        <row r="333">
          <cell r="C333">
            <v>0</v>
          </cell>
        </row>
        <row r="334">
          <cell r="C334">
            <v>851.1</v>
          </cell>
        </row>
        <row r="335">
          <cell r="C335">
            <v>671</v>
          </cell>
        </row>
        <row r="336">
          <cell r="C336">
            <v>0</v>
          </cell>
        </row>
        <row r="337">
          <cell r="C337">
            <v>0</v>
          </cell>
        </row>
        <row r="338">
          <cell r="C338">
            <v>0</v>
          </cell>
        </row>
        <row r="339">
          <cell r="C339">
            <v>990.02</v>
          </cell>
        </row>
        <row r="340">
          <cell r="C340">
            <v>95.17</v>
          </cell>
        </row>
        <row r="341">
          <cell r="C341">
            <v>55.25</v>
          </cell>
        </row>
        <row r="342">
          <cell r="C342">
            <v>5730.03</v>
          </cell>
        </row>
        <row r="343">
          <cell r="C343">
            <v>135.51</v>
          </cell>
        </row>
        <row r="344">
          <cell r="C344">
            <v>156707.62</v>
          </cell>
        </row>
        <row r="345">
          <cell r="C345">
            <v>425.91</v>
          </cell>
        </row>
        <row r="346">
          <cell r="C346">
            <v>-34601.79</v>
          </cell>
        </row>
        <row r="347">
          <cell r="C347">
            <v>531</v>
          </cell>
        </row>
        <row r="348">
          <cell r="C348">
            <v>274.17</v>
          </cell>
        </row>
        <row r="366">
          <cell r="C366">
            <v>1205027.6200000001</v>
          </cell>
        </row>
        <row r="373">
          <cell r="C373">
            <v>10460.93</v>
          </cell>
        </row>
        <row r="379">
          <cell r="C379">
            <v>301.04000000000002</v>
          </cell>
        </row>
        <row r="382">
          <cell r="C382">
            <v>3406.6</v>
          </cell>
        </row>
        <row r="383">
          <cell r="C383">
            <v>74080.75</v>
          </cell>
        </row>
        <row r="384">
          <cell r="C384">
            <v>136.5</v>
          </cell>
        </row>
        <row r="385">
          <cell r="C385">
            <v>1659.84</v>
          </cell>
        </row>
        <row r="386">
          <cell r="C386">
            <v>3907.1</v>
          </cell>
        </row>
        <row r="394">
          <cell r="C394">
            <v>0</v>
          </cell>
        </row>
        <row r="409">
          <cell r="C409">
            <v>45612.59</v>
          </cell>
        </row>
        <row r="435">
          <cell r="C435">
            <v>139422.12</v>
          </cell>
        </row>
        <row r="443">
          <cell r="C443">
            <v>8226.44</v>
          </cell>
        </row>
        <row r="448">
          <cell r="C448">
            <v>0</v>
          </cell>
        </row>
        <row r="463">
          <cell r="C463">
            <v>44727.89</v>
          </cell>
        </row>
        <row r="477">
          <cell r="C477">
            <v>50067.74</v>
          </cell>
        </row>
        <row r="489">
          <cell r="C489">
            <v>76232.31</v>
          </cell>
        </row>
        <row r="499">
          <cell r="C499">
            <v>23982.39</v>
          </cell>
        </row>
        <row r="505">
          <cell r="C505">
            <v>20330.3</v>
          </cell>
        </row>
        <row r="521">
          <cell r="C521">
            <v>165789.41</v>
          </cell>
        </row>
        <row r="530">
          <cell r="C530">
            <v>82471.28</v>
          </cell>
        </row>
        <row r="535">
          <cell r="C535">
            <v>28565.73</v>
          </cell>
        </row>
        <row r="551">
          <cell r="C551">
            <v>333057.08</v>
          </cell>
        </row>
        <row r="575">
          <cell r="C575">
            <v>222068.81</v>
          </cell>
        </row>
        <row r="594">
          <cell r="C594">
            <v>95591.51</v>
          </cell>
        </row>
        <row r="599">
          <cell r="C599">
            <v>0</v>
          </cell>
        </row>
        <row r="610">
          <cell r="C610">
            <v>13791.8</v>
          </cell>
        </row>
        <row r="613">
          <cell r="C613">
            <v>162911.54</v>
          </cell>
        </row>
        <row r="614">
          <cell r="C614">
            <v>100350.68</v>
          </cell>
        </row>
        <row r="621">
          <cell r="C621">
            <v>0</v>
          </cell>
        </row>
        <row r="626">
          <cell r="C626">
            <v>7442</v>
          </cell>
        </row>
        <row r="632">
          <cell r="C632">
            <v>9488.44</v>
          </cell>
        </row>
        <row r="643">
          <cell r="C643">
            <v>33194.949999999997</v>
          </cell>
        </row>
        <row r="648">
          <cell r="C648">
            <v>0</v>
          </cell>
        </row>
        <row r="651">
          <cell r="C651">
            <v>6453108.25</v>
          </cell>
        </row>
        <row r="652">
          <cell r="C652">
            <v>76294.759999999995</v>
          </cell>
        </row>
        <row r="653">
          <cell r="C653">
            <v>0</v>
          </cell>
        </row>
        <row r="654">
          <cell r="C654">
            <v>7821.02</v>
          </cell>
        </row>
        <row r="656">
          <cell r="C656">
            <v>1083809.1100000001</v>
          </cell>
        </row>
        <row r="659">
          <cell r="C659">
            <v>5363315.8899999997</v>
          </cell>
        </row>
        <row r="661">
          <cell r="C661">
            <v>626236.38</v>
          </cell>
        </row>
        <row r="663">
          <cell r="C663">
            <v>2588331.86</v>
          </cell>
        </row>
        <row r="664">
          <cell r="C664">
            <v>358692.58</v>
          </cell>
        </row>
        <row r="665">
          <cell r="C665">
            <v>29173</v>
          </cell>
        </row>
        <row r="666">
          <cell r="C666">
            <v>928809.84</v>
          </cell>
        </row>
        <row r="667">
          <cell r="C667">
            <v>139.9</v>
          </cell>
        </row>
        <row r="668">
          <cell r="C668">
            <v>530508.67000000004</v>
          </cell>
        </row>
        <row r="669">
          <cell r="C669">
            <v>0</v>
          </cell>
        </row>
        <row r="679">
          <cell r="C679">
            <v>905648.16</v>
          </cell>
        </row>
        <row r="680">
          <cell r="C680">
            <v>711096.23</v>
          </cell>
        </row>
        <row r="681">
          <cell r="C681">
            <v>48494.62</v>
          </cell>
        </row>
        <row r="683">
          <cell r="C683">
            <v>464.46</v>
          </cell>
        </row>
        <row r="684">
          <cell r="C684">
            <v>2928.63</v>
          </cell>
        </row>
        <row r="695">
          <cell r="C695">
            <v>12113.52</v>
          </cell>
        </row>
        <row r="727">
          <cell r="C727">
            <v>1741721.87</v>
          </cell>
        </row>
        <row r="733">
          <cell r="C733">
            <v>430094.73</v>
          </cell>
        </row>
        <row r="737">
          <cell r="C737">
            <v>437301.6</v>
          </cell>
        </row>
        <row r="748">
          <cell r="C748">
            <v>141340.29999999999</v>
          </cell>
        </row>
        <row r="754">
          <cell r="C754">
            <v>12544.14</v>
          </cell>
        </row>
        <row r="759">
          <cell r="C759">
            <v>0</v>
          </cell>
        </row>
        <row r="762">
          <cell r="C762">
            <v>5867089.8700000001</v>
          </cell>
        </row>
        <row r="763">
          <cell r="C763">
            <v>114544.3</v>
          </cell>
        </row>
        <row r="764">
          <cell r="C764">
            <v>940858.08</v>
          </cell>
        </row>
        <row r="765">
          <cell r="C765">
            <v>486.5</v>
          </cell>
        </row>
        <row r="766">
          <cell r="C766">
            <v>50</v>
          </cell>
        </row>
        <row r="767">
          <cell r="C767">
            <v>421.19</v>
          </cell>
        </row>
        <row r="768">
          <cell r="C768">
            <v>104716.7</v>
          </cell>
        </row>
        <row r="769">
          <cell r="C769">
            <v>-75</v>
          </cell>
        </row>
        <row r="770">
          <cell r="C770">
            <v>49287.19</v>
          </cell>
        </row>
        <row r="771">
          <cell r="C771">
            <v>-4655.75</v>
          </cell>
        </row>
        <row r="772">
          <cell r="C772">
            <v>445</v>
          </cell>
        </row>
        <row r="773">
          <cell r="C773">
            <v>520</v>
          </cell>
        </row>
        <row r="774">
          <cell r="C774">
            <v>5189074.3499999996</v>
          </cell>
        </row>
        <row r="775">
          <cell r="C775">
            <v>500</v>
          </cell>
        </row>
        <row r="776">
          <cell r="C776">
            <v>5442</v>
          </cell>
        </row>
        <row r="777">
          <cell r="C777">
            <v>1866.12</v>
          </cell>
        </row>
        <row r="778">
          <cell r="C778">
            <v>6.72</v>
          </cell>
        </row>
        <row r="779">
          <cell r="C779">
            <v>5063.82</v>
          </cell>
        </row>
        <row r="780">
          <cell r="C780">
            <v>-29.95</v>
          </cell>
        </row>
        <row r="781">
          <cell r="C781">
            <v>16583.34</v>
          </cell>
        </row>
        <row r="782">
          <cell r="C782">
            <v>10342.07</v>
          </cell>
        </row>
        <row r="783">
          <cell r="C783">
            <v>495</v>
          </cell>
        </row>
        <row r="784">
          <cell r="C784">
            <v>1260.96</v>
          </cell>
        </row>
        <row r="785">
          <cell r="C785">
            <v>1311.06</v>
          </cell>
        </row>
        <row r="786">
          <cell r="C786">
            <v>254.01</v>
          </cell>
        </row>
        <row r="787">
          <cell r="C787">
            <v>145.5</v>
          </cell>
        </row>
        <row r="788">
          <cell r="C788">
            <v>6451.33</v>
          </cell>
        </row>
        <row r="789">
          <cell r="C789">
            <v>1621.59</v>
          </cell>
        </row>
        <row r="790">
          <cell r="C790">
            <v>10.53</v>
          </cell>
        </row>
        <row r="791">
          <cell r="C791">
            <v>1048.21</v>
          </cell>
        </row>
        <row r="792">
          <cell r="C792">
            <v>547.63</v>
          </cell>
        </row>
        <row r="793">
          <cell r="C793">
            <v>337.84</v>
          </cell>
        </row>
        <row r="794">
          <cell r="C794">
            <v>8136.56</v>
          </cell>
        </row>
        <row r="795">
          <cell r="C795">
            <v>3176.89</v>
          </cell>
        </row>
        <row r="806">
          <cell r="C806">
            <v>40387.129999999997</v>
          </cell>
        </row>
        <row r="809">
          <cell r="C809">
            <v>40275</v>
          </cell>
        </row>
        <row r="810">
          <cell r="C810">
            <v>0</v>
          </cell>
        </row>
        <row r="811">
          <cell r="C811">
            <v>5138.43</v>
          </cell>
        </row>
        <row r="812">
          <cell r="C812">
            <v>701.93</v>
          </cell>
        </row>
        <row r="813">
          <cell r="C813">
            <v>1136.08</v>
          </cell>
        </row>
        <row r="814">
          <cell r="C814">
            <v>2293.85</v>
          </cell>
        </row>
        <row r="815">
          <cell r="C815">
            <v>129</v>
          </cell>
        </row>
        <row r="816">
          <cell r="C816">
            <v>1000</v>
          </cell>
        </row>
        <row r="817">
          <cell r="C817">
            <v>293.02</v>
          </cell>
        </row>
        <row r="818">
          <cell r="C818">
            <v>1.05</v>
          </cell>
        </row>
        <row r="819">
          <cell r="C819">
            <v>14.62</v>
          </cell>
        </row>
        <row r="820">
          <cell r="C820">
            <v>4874.12</v>
          </cell>
        </row>
        <row r="821">
          <cell r="C821">
            <v>1112.3499999999999</v>
          </cell>
        </row>
        <row r="822">
          <cell r="C822">
            <v>1546.95</v>
          </cell>
        </row>
        <row r="823">
          <cell r="C823">
            <v>400</v>
          </cell>
        </row>
        <row r="824">
          <cell r="C824">
            <v>23584.02</v>
          </cell>
        </row>
        <row r="825">
          <cell r="C825">
            <v>4828.49</v>
          </cell>
        </row>
        <row r="826">
          <cell r="C826">
            <v>615.35</v>
          </cell>
        </row>
        <row r="827">
          <cell r="C827">
            <v>9501.1200000000008</v>
          </cell>
        </row>
        <row r="828">
          <cell r="C828">
            <v>359.94</v>
          </cell>
        </row>
        <row r="829">
          <cell r="C829">
            <v>32308.87</v>
          </cell>
        </row>
        <row r="830">
          <cell r="C830">
            <v>385.97</v>
          </cell>
        </row>
        <row r="831">
          <cell r="C831">
            <v>1246.18</v>
          </cell>
        </row>
        <row r="832">
          <cell r="C832">
            <v>3453.9</v>
          </cell>
        </row>
        <row r="837">
          <cell r="C837">
            <v>6569981.5599999996</v>
          </cell>
        </row>
        <row r="838">
          <cell r="C838">
            <v>5657.89</v>
          </cell>
        </row>
        <row r="839">
          <cell r="C839">
            <v>32193.26</v>
          </cell>
        </row>
        <row r="840">
          <cell r="C840">
            <v>145944.07999999999</v>
          </cell>
        </row>
        <row r="841">
          <cell r="C841">
            <v>63196</v>
          </cell>
        </row>
        <row r="842">
          <cell r="C842">
            <v>0</v>
          </cell>
        </row>
        <row r="843">
          <cell r="C843">
            <v>75.930000000000007</v>
          </cell>
        </row>
        <row r="844">
          <cell r="C844">
            <v>4796.68</v>
          </cell>
        </row>
        <row r="845">
          <cell r="C845">
            <v>35</v>
          </cell>
        </row>
        <row r="846">
          <cell r="C846">
            <v>30000</v>
          </cell>
        </row>
        <row r="847">
          <cell r="C847">
            <v>2026</v>
          </cell>
        </row>
        <row r="848">
          <cell r="C848">
            <v>4006.68</v>
          </cell>
        </row>
        <row r="849">
          <cell r="C849">
            <v>63034.29</v>
          </cell>
        </row>
        <row r="850">
          <cell r="C850">
            <v>9862.3700000000008</v>
          </cell>
        </row>
        <row r="851">
          <cell r="C851">
            <v>-114</v>
          </cell>
        </row>
        <row r="852">
          <cell r="C852">
            <v>66.77</v>
          </cell>
        </row>
        <row r="853">
          <cell r="C853">
            <v>50.09</v>
          </cell>
        </row>
        <row r="854">
          <cell r="C854">
            <v>71333.03</v>
          </cell>
        </row>
        <row r="855">
          <cell r="C855">
            <v>170</v>
          </cell>
        </row>
        <row r="856">
          <cell r="C856">
            <v>94186.15</v>
          </cell>
        </row>
        <row r="857">
          <cell r="C857">
            <v>45</v>
          </cell>
        </row>
        <row r="858">
          <cell r="C858">
            <v>218468.43</v>
          </cell>
        </row>
        <row r="859">
          <cell r="C859">
            <v>1542.99</v>
          </cell>
        </row>
        <row r="860">
          <cell r="C860">
            <v>1229.76</v>
          </cell>
        </row>
        <row r="861">
          <cell r="C861">
            <v>410.7</v>
          </cell>
        </row>
        <row r="862">
          <cell r="C862">
            <v>185</v>
          </cell>
        </row>
        <row r="863">
          <cell r="C863">
            <v>1685.51</v>
          </cell>
        </row>
        <row r="864">
          <cell r="C864">
            <v>22978.66</v>
          </cell>
        </row>
        <row r="865">
          <cell r="C865">
            <v>745.53</v>
          </cell>
        </row>
        <row r="866">
          <cell r="C866">
            <v>17836.759999999998</v>
          </cell>
        </row>
        <row r="867">
          <cell r="C867">
            <v>40.270000000000003</v>
          </cell>
        </row>
        <row r="868">
          <cell r="C868">
            <v>1900.27</v>
          </cell>
        </row>
        <row r="869">
          <cell r="C869">
            <v>7863.13</v>
          </cell>
        </row>
        <row r="870">
          <cell r="C870">
            <v>24982.15</v>
          </cell>
        </row>
        <row r="871">
          <cell r="C871">
            <v>4332.79</v>
          </cell>
        </row>
        <row r="872">
          <cell r="C872">
            <v>900.34</v>
          </cell>
        </row>
        <row r="873">
          <cell r="C873">
            <v>4001.53</v>
          </cell>
        </row>
        <row r="874">
          <cell r="C874">
            <v>3696.28</v>
          </cell>
        </row>
        <row r="875">
          <cell r="C875">
            <v>3134.41</v>
          </cell>
        </row>
        <row r="876">
          <cell r="C876">
            <v>146.05000000000001</v>
          </cell>
        </row>
        <row r="877">
          <cell r="C877">
            <v>49.48</v>
          </cell>
        </row>
        <row r="878">
          <cell r="C878">
            <v>221.49</v>
          </cell>
        </row>
        <row r="879">
          <cell r="C879">
            <v>34973.18</v>
          </cell>
        </row>
        <row r="880">
          <cell r="C880">
            <v>448.81</v>
          </cell>
        </row>
        <row r="881">
          <cell r="C881">
            <v>5662.3</v>
          </cell>
        </row>
        <row r="882">
          <cell r="C882">
            <v>19605.080000000002</v>
          </cell>
        </row>
        <row r="883">
          <cell r="C883">
            <v>18957.16</v>
          </cell>
        </row>
        <row r="884">
          <cell r="C884">
            <v>722.41</v>
          </cell>
        </row>
        <row r="885">
          <cell r="C885">
            <v>625</v>
          </cell>
        </row>
        <row r="886">
          <cell r="C886">
            <v>52589.57</v>
          </cell>
        </row>
        <row r="887">
          <cell r="C887">
            <v>39343.449999999997</v>
          </cell>
        </row>
        <row r="888">
          <cell r="C888">
            <v>44645.29</v>
          </cell>
        </row>
        <row r="889">
          <cell r="C889">
            <v>1992.11</v>
          </cell>
        </row>
        <row r="890">
          <cell r="C890">
            <v>574.9</v>
          </cell>
        </row>
        <row r="891">
          <cell r="C891">
            <v>544</v>
          </cell>
        </row>
        <row r="892">
          <cell r="C892">
            <v>3857.88</v>
          </cell>
        </row>
        <row r="893">
          <cell r="C893">
            <v>0</v>
          </cell>
        </row>
        <row r="898">
          <cell r="C898">
            <v>2834.98</v>
          </cell>
        </row>
        <row r="899">
          <cell r="C899">
            <v>0</v>
          </cell>
        </row>
        <row r="900">
          <cell r="C900">
            <v>3051269.86</v>
          </cell>
        </row>
        <row r="901">
          <cell r="C901">
            <v>232.52</v>
          </cell>
        </row>
        <row r="902">
          <cell r="C902">
            <v>131938.21</v>
          </cell>
        </row>
        <row r="903">
          <cell r="C903">
            <v>490934.3</v>
          </cell>
        </row>
        <row r="904">
          <cell r="C904">
            <v>8662</v>
          </cell>
        </row>
        <row r="905">
          <cell r="C905">
            <v>208628.01</v>
          </cell>
        </row>
        <row r="906">
          <cell r="C906">
            <v>9063423.1199999992</v>
          </cell>
        </row>
        <row r="907">
          <cell r="C907">
            <v>2187648.86</v>
          </cell>
        </row>
        <row r="908">
          <cell r="C908">
            <v>3349822.82</v>
          </cell>
        </row>
        <row r="910">
          <cell r="C910">
            <v>146721</v>
          </cell>
        </row>
        <row r="911">
          <cell r="C911">
            <v>24860.87</v>
          </cell>
        </row>
        <row r="912">
          <cell r="C912">
            <v>5565.65</v>
          </cell>
        </row>
        <row r="913">
          <cell r="C913">
            <v>25649.78</v>
          </cell>
        </row>
        <row r="914">
          <cell r="C914">
            <v>971568.44</v>
          </cell>
        </row>
        <row r="915">
          <cell r="C915">
            <v>1712.99</v>
          </cell>
        </row>
        <row r="916">
          <cell r="C916">
            <v>600</v>
          </cell>
        </row>
        <row r="917">
          <cell r="C917">
            <v>290</v>
          </cell>
        </row>
        <row r="918">
          <cell r="C918">
            <v>1297.75</v>
          </cell>
        </row>
        <row r="919">
          <cell r="C919">
            <v>543.25</v>
          </cell>
        </row>
        <row r="920">
          <cell r="C920">
            <v>789.75</v>
          </cell>
        </row>
        <row r="921">
          <cell r="C921">
            <v>4429.46</v>
          </cell>
        </row>
        <row r="922">
          <cell r="C922">
            <v>2820</v>
          </cell>
        </row>
        <row r="923">
          <cell r="C923">
            <v>148.32</v>
          </cell>
        </row>
        <row r="924">
          <cell r="C924">
            <v>2732.5</v>
          </cell>
        </row>
        <row r="925">
          <cell r="C925">
            <v>28043.48</v>
          </cell>
        </row>
        <row r="926">
          <cell r="C926">
            <v>2232.4</v>
          </cell>
        </row>
        <row r="927">
          <cell r="C927">
            <v>100.98</v>
          </cell>
        </row>
        <row r="928">
          <cell r="C928">
            <v>176.54</v>
          </cell>
        </row>
        <row r="929">
          <cell r="C929">
            <v>39.99</v>
          </cell>
        </row>
        <row r="930">
          <cell r="C930">
            <v>187.37</v>
          </cell>
        </row>
        <row r="931">
          <cell r="C931">
            <v>31.02</v>
          </cell>
        </row>
        <row r="932">
          <cell r="C932">
            <v>15161.75</v>
          </cell>
        </row>
        <row r="940">
          <cell r="C940">
            <v>2834.29</v>
          </cell>
        </row>
        <row r="948">
          <cell r="C948">
            <v>529.08000000000004</v>
          </cell>
        </row>
        <row r="953">
          <cell r="C953">
            <v>25338.79</v>
          </cell>
        </row>
        <row r="958">
          <cell r="C958">
            <v>0</v>
          </cell>
        </row>
        <row r="964">
          <cell r="C964">
            <v>0</v>
          </cell>
        </row>
        <row r="969">
          <cell r="C969">
            <v>0</v>
          </cell>
        </row>
        <row r="975">
          <cell r="C975">
            <v>0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F1959-DC7E-45FF-BA0C-8020F56C6118}">
  <dimension ref="A1:AJ169"/>
  <sheetViews>
    <sheetView tabSelected="1" topLeftCell="B1" zoomScaleNormal="100" workbookViewId="0">
      <selection activeCell="V156" sqref="V156"/>
    </sheetView>
  </sheetViews>
  <sheetFormatPr defaultColWidth="8.19921875" defaultRowHeight="12.75" outlineLevelRow="1" x14ac:dyDescent="0.35"/>
  <cols>
    <col min="1" max="1" width="15.19921875" style="14" customWidth="1"/>
    <col min="2" max="2" width="20.265625" style="14" customWidth="1"/>
    <col min="3" max="3" width="19.3984375" style="14" customWidth="1"/>
    <col min="4" max="4" width="10.265625" style="14" customWidth="1"/>
    <col min="5" max="5" width="10.06640625" style="14" hidden="1" customWidth="1"/>
    <col min="6" max="6" width="8.9296875" style="14" hidden="1" customWidth="1"/>
    <col min="7" max="7" width="9.86328125" style="14" hidden="1" customWidth="1"/>
    <col min="8" max="9" width="14" style="14" bestFit="1" customWidth="1"/>
    <col min="10" max="11" width="13.33203125" style="14" customWidth="1"/>
    <col min="12" max="12" width="15.19921875" style="14" bestFit="1" customWidth="1"/>
    <col min="13" max="13" width="12.796875" style="14" bestFit="1" customWidth="1"/>
    <col min="14" max="14" width="13.46484375" style="14" customWidth="1"/>
    <col min="15" max="15" width="12.19921875" style="14" bestFit="1" customWidth="1"/>
    <col min="16" max="16" width="13.46484375" style="14" bestFit="1" customWidth="1"/>
    <col min="17" max="17" width="14" style="14" bestFit="1" customWidth="1"/>
    <col min="18" max="18" width="13.46484375" style="14" bestFit="1" customWidth="1"/>
    <col min="19" max="19" width="14" style="14" bestFit="1" customWidth="1"/>
    <col min="20" max="20" width="10.06640625" style="14" bestFit="1" customWidth="1"/>
    <col min="21" max="21" width="9.33203125" style="14" hidden="1" customWidth="1"/>
    <col min="22" max="22" width="14" style="14" bestFit="1" customWidth="1"/>
    <col min="23" max="23" width="10.265625" style="14" bestFit="1" customWidth="1"/>
    <col min="24" max="24" width="63.06640625" style="14" hidden="1" customWidth="1"/>
    <col min="25" max="25" width="4.3984375" style="14" hidden="1" customWidth="1"/>
    <col min="26" max="26" width="13.33203125" style="14" hidden="1" customWidth="1"/>
    <col min="27" max="27" width="12.796875" style="14" hidden="1" customWidth="1"/>
    <col min="28" max="28" width="11.46484375" style="14" hidden="1" customWidth="1"/>
    <col min="29" max="29" width="4.3984375" style="14" hidden="1" customWidth="1"/>
    <col min="30" max="30" width="13.33203125" style="14" hidden="1" customWidth="1"/>
    <col min="31" max="31" width="14.53125" style="14" hidden="1" customWidth="1"/>
    <col min="32" max="32" width="11.46484375" style="14" hidden="1" customWidth="1"/>
    <col min="33" max="33" width="4.3984375" style="14" hidden="1" customWidth="1"/>
    <col min="34" max="34" width="13.33203125" style="14" hidden="1" customWidth="1"/>
    <col min="35" max="35" width="12.796875" style="14" hidden="1" customWidth="1"/>
    <col min="36" max="36" width="11.46484375" style="14" hidden="1" customWidth="1"/>
    <col min="37" max="16384" width="8.19921875" style="14"/>
  </cols>
  <sheetData>
    <row r="1" spans="1:36" s="7" customFormat="1" ht="13.15" x14ac:dyDescent="0.4">
      <c r="A1" s="1"/>
      <c r="B1" s="2"/>
      <c r="C1" s="2"/>
      <c r="D1" s="2"/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/>
      <c r="Z1" s="5"/>
      <c r="AA1" s="5"/>
      <c r="AB1" s="5"/>
      <c r="AC1" s="6"/>
      <c r="AD1" s="5"/>
      <c r="AE1" s="5"/>
      <c r="AF1" s="5"/>
      <c r="AH1" s="5"/>
      <c r="AI1" s="5"/>
      <c r="AJ1" s="5"/>
    </row>
    <row r="2" spans="1:36" s="7" customFormat="1" ht="15" x14ac:dyDescent="0.4">
      <c r="A2" s="4"/>
      <c r="B2" s="2"/>
      <c r="C2" s="2"/>
      <c r="D2" s="8"/>
      <c r="E2" s="342" t="s">
        <v>259</v>
      </c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9"/>
      <c r="R2" s="9"/>
      <c r="S2" s="9"/>
      <c r="T2" s="9"/>
      <c r="U2" s="9"/>
      <c r="V2" s="9"/>
      <c r="W2" s="9"/>
      <c r="X2" s="9"/>
      <c r="Y2" s="4"/>
      <c r="Z2" s="5"/>
      <c r="AA2" s="5"/>
      <c r="AB2" s="5"/>
      <c r="AC2" s="6"/>
      <c r="AD2" s="5"/>
      <c r="AE2" s="5"/>
      <c r="AF2" s="5"/>
      <c r="AH2" s="5"/>
      <c r="AI2" s="5"/>
      <c r="AJ2" s="5"/>
    </row>
    <row r="3" spans="1:36" s="7" customFormat="1" ht="13.15" x14ac:dyDescent="0.4">
      <c r="A3" s="10"/>
      <c r="B3" s="2"/>
      <c r="C3" s="2"/>
      <c r="D3" s="2"/>
      <c r="E3" s="11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2"/>
      <c r="Z3" s="5"/>
      <c r="AA3" s="5"/>
      <c r="AB3" s="5"/>
      <c r="AC3" s="6"/>
      <c r="AD3" s="5"/>
      <c r="AE3" s="5"/>
      <c r="AF3" s="5"/>
      <c r="AH3" s="5"/>
      <c r="AI3" s="5"/>
      <c r="AJ3" s="5"/>
    </row>
    <row r="4" spans="1:36" s="7" customFormat="1" ht="15" customHeight="1" x14ac:dyDescent="0.4">
      <c r="A4" s="13"/>
      <c r="B4" s="4"/>
      <c r="C4" s="4"/>
      <c r="D4" s="4"/>
      <c r="F4" s="4"/>
      <c r="G4" s="4"/>
      <c r="H4" s="4"/>
      <c r="I4" s="4"/>
      <c r="J4" s="3"/>
      <c r="K4" s="3"/>
      <c r="L4" s="3"/>
      <c r="M4" s="3"/>
      <c r="N4" s="3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14"/>
      <c r="AA4" s="14"/>
      <c r="AB4" s="14"/>
      <c r="AC4" s="4"/>
      <c r="AD4" s="14"/>
      <c r="AE4" s="14"/>
      <c r="AF4" s="14"/>
      <c r="AG4" s="4"/>
      <c r="AH4" s="14"/>
      <c r="AI4" s="14"/>
      <c r="AJ4" s="14"/>
    </row>
    <row r="5" spans="1:36" s="7" customFormat="1" ht="15.75" customHeight="1" thickBot="1" x14ac:dyDescent="0.45">
      <c r="A5" s="4" t="s">
        <v>2</v>
      </c>
      <c r="B5" s="15"/>
      <c r="C5" s="15"/>
      <c r="D5" s="15"/>
      <c r="E5" s="15"/>
      <c r="F5" s="15"/>
      <c r="G5" s="15"/>
      <c r="H5" s="15"/>
      <c r="I5" s="16"/>
      <c r="J5" s="16"/>
      <c r="K5" s="16"/>
      <c r="L5" s="16"/>
      <c r="M5" s="16"/>
      <c r="N5" s="16"/>
      <c r="O5" s="16"/>
      <c r="P5" s="17"/>
      <c r="Q5" s="18"/>
      <c r="R5" s="18"/>
      <c r="S5" s="18"/>
      <c r="T5" s="18"/>
      <c r="U5" s="18"/>
    </row>
    <row r="6" spans="1:36" s="7" customFormat="1" ht="15" x14ac:dyDescent="0.35">
      <c r="A6" s="19" t="s">
        <v>3</v>
      </c>
      <c r="B6" s="19" t="s">
        <v>4</v>
      </c>
      <c r="C6" s="19"/>
      <c r="D6" s="19"/>
      <c r="E6" s="20" t="s">
        <v>5</v>
      </c>
      <c r="F6" s="21"/>
      <c r="G6" s="22"/>
      <c r="H6" s="23" t="s">
        <v>6</v>
      </c>
      <c r="I6" s="24"/>
      <c r="J6" s="24"/>
      <c r="K6" s="24"/>
      <c r="L6" s="24"/>
      <c r="M6" s="24"/>
      <c r="N6" s="24"/>
      <c r="O6" s="24"/>
      <c r="P6" s="25"/>
      <c r="Q6" s="26" t="s">
        <v>7</v>
      </c>
      <c r="R6" s="27"/>
      <c r="S6" s="27"/>
      <c r="T6" s="27"/>
      <c r="U6" s="28" t="s">
        <v>8</v>
      </c>
      <c r="V6" s="29" t="s">
        <v>9</v>
      </c>
      <c r="W6" s="30"/>
      <c r="X6" s="31" t="s">
        <v>10</v>
      </c>
      <c r="Y6" s="32"/>
      <c r="Z6" s="33" t="s">
        <v>11</v>
      </c>
      <c r="AA6" s="34"/>
      <c r="AB6" s="35"/>
      <c r="AC6" s="32"/>
      <c r="AD6" s="36" t="s">
        <v>11</v>
      </c>
      <c r="AE6" s="37"/>
      <c r="AF6" s="38"/>
      <c r="AH6" s="39" t="s">
        <v>11</v>
      </c>
      <c r="AI6" s="40"/>
      <c r="AJ6" s="41"/>
    </row>
    <row r="7" spans="1:36" s="7" customFormat="1" ht="15" x14ac:dyDescent="0.35">
      <c r="A7" s="14"/>
      <c r="B7" s="14"/>
      <c r="C7" s="14"/>
      <c r="D7" s="14"/>
      <c r="E7" s="42" t="s">
        <v>11</v>
      </c>
      <c r="F7" s="43" t="s">
        <v>12</v>
      </c>
      <c r="G7" s="44" t="s">
        <v>13</v>
      </c>
      <c r="H7" s="45" t="s">
        <v>14</v>
      </c>
      <c r="I7" s="46" t="s">
        <v>15</v>
      </c>
      <c r="J7" s="46" t="s">
        <v>8</v>
      </c>
      <c r="K7" s="47" t="s">
        <v>16</v>
      </c>
      <c r="L7" s="48" t="s">
        <v>6</v>
      </c>
      <c r="M7" s="47" t="s">
        <v>17</v>
      </c>
      <c r="N7" s="49" t="s">
        <v>18</v>
      </c>
      <c r="O7" s="50" t="s">
        <v>17</v>
      </c>
      <c r="P7" s="49" t="s">
        <v>19</v>
      </c>
      <c r="Q7" s="51" t="s">
        <v>20</v>
      </c>
      <c r="R7" s="52" t="s">
        <v>21</v>
      </c>
      <c r="S7" s="52" t="s">
        <v>22</v>
      </c>
      <c r="T7" s="43" t="s">
        <v>23</v>
      </c>
      <c r="U7" s="53" t="s">
        <v>24</v>
      </c>
      <c r="V7" s="51" t="s">
        <v>25</v>
      </c>
      <c r="W7" s="54" t="s">
        <v>26</v>
      </c>
      <c r="X7" s="55" t="s">
        <v>27</v>
      </c>
      <c r="Y7" s="56"/>
      <c r="Z7" s="57" t="s">
        <v>7</v>
      </c>
      <c r="AA7" s="58"/>
      <c r="AB7" s="59"/>
      <c r="AC7" s="56"/>
      <c r="AD7" s="60" t="s">
        <v>7</v>
      </c>
      <c r="AE7" s="61"/>
      <c r="AF7" s="62"/>
      <c r="AH7" s="63" t="s">
        <v>7</v>
      </c>
      <c r="AI7" s="64"/>
      <c r="AJ7" s="65"/>
    </row>
    <row r="8" spans="1:36" s="7" customFormat="1" ht="15" x14ac:dyDescent="0.35">
      <c r="A8" s="14"/>
      <c r="B8" s="66"/>
      <c r="C8" s="66"/>
      <c r="D8" s="66"/>
      <c r="E8" s="67"/>
      <c r="F8" s="46"/>
      <c r="G8" s="68" t="s">
        <v>28</v>
      </c>
      <c r="H8" s="45" t="s">
        <v>29</v>
      </c>
      <c r="I8" s="52" t="s">
        <v>30</v>
      </c>
      <c r="J8" s="52"/>
      <c r="K8" s="69" t="s">
        <v>31</v>
      </c>
      <c r="L8" s="70" t="s">
        <v>32</v>
      </c>
      <c r="M8" s="69" t="s">
        <v>33</v>
      </c>
      <c r="N8" s="71" t="s">
        <v>6</v>
      </c>
      <c r="O8" s="72" t="s">
        <v>33</v>
      </c>
      <c r="P8" s="71" t="s">
        <v>6</v>
      </c>
      <c r="Q8" s="73">
        <v>46053</v>
      </c>
      <c r="R8" s="52"/>
      <c r="S8" s="52"/>
      <c r="T8" s="54" t="s">
        <v>34</v>
      </c>
      <c r="U8" s="53" t="s">
        <v>35</v>
      </c>
      <c r="V8" s="74"/>
      <c r="W8" s="54"/>
      <c r="X8" s="75" t="s">
        <v>36</v>
      </c>
      <c r="Y8" s="56"/>
      <c r="Z8" s="76" t="s">
        <v>37</v>
      </c>
      <c r="AA8" s="77" t="s">
        <v>38</v>
      </c>
      <c r="AB8" s="78" t="s">
        <v>39</v>
      </c>
      <c r="AC8" s="56"/>
      <c r="AD8" s="79" t="s">
        <v>40</v>
      </c>
      <c r="AE8" s="80" t="s">
        <v>38</v>
      </c>
      <c r="AF8" s="81" t="s">
        <v>39</v>
      </c>
      <c r="AH8" s="82" t="s">
        <v>41</v>
      </c>
      <c r="AI8" s="83" t="s">
        <v>38</v>
      </c>
      <c r="AJ8" s="84" t="s">
        <v>39</v>
      </c>
    </row>
    <row r="9" spans="1:36" s="7" customFormat="1" ht="15.75" customHeight="1" thickBot="1" x14ac:dyDescent="0.4">
      <c r="A9" s="85"/>
      <c r="B9" s="85"/>
      <c r="C9" s="85"/>
      <c r="D9" s="86"/>
      <c r="E9" s="87">
        <v>44742</v>
      </c>
      <c r="F9" s="88"/>
      <c r="G9" s="89"/>
      <c r="H9" s="90"/>
      <c r="I9" s="88" t="s">
        <v>42</v>
      </c>
      <c r="J9" s="88"/>
      <c r="K9" s="91" t="s">
        <v>43</v>
      </c>
      <c r="L9" s="92" t="s">
        <v>44</v>
      </c>
      <c r="M9" s="91" t="s">
        <v>43</v>
      </c>
      <c r="N9" s="93"/>
      <c r="O9" s="94" t="s">
        <v>45</v>
      </c>
      <c r="P9" s="95">
        <v>46112</v>
      </c>
      <c r="Q9" s="96"/>
      <c r="R9" s="97"/>
      <c r="S9" s="97"/>
      <c r="T9" s="97"/>
      <c r="U9" s="98" t="s">
        <v>46</v>
      </c>
      <c r="V9" s="99"/>
      <c r="W9" s="100"/>
      <c r="X9" s="101"/>
      <c r="Y9" s="56"/>
      <c r="Z9" s="102"/>
      <c r="AA9" s="103"/>
      <c r="AB9" s="104"/>
      <c r="AC9" s="56"/>
      <c r="AD9" s="105"/>
      <c r="AE9" s="106"/>
      <c r="AF9" s="107"/>
      <c r="AH9" s="108"/>
      <c r="AI9" s="109"/>
      <c r="AJ9" s="110"/>
    </row>
    <row r="10" spans="1:36" ht="13.15" x14ac:dyDescent="0.4">
      <c r="A10" s="13"/>
      <c r="E10" s="111"/>
      <c r="G10" s="112"/>
      <c r="H10" s="113"/>
      <c r="I10" s="13"/>
      <c r="J10" s="13"/>
      <c r="K10" s="13"/>
      <c r="L10" s="13"/>
      <c r="M10" s="13"/>
      <c r="N10" s="13"/>
      <c r="O10" s="13"/>
      <c r="P10" s="13"/>
      <c r="Q10" s="114"/>
      <c r="R10" s="13"/>
      <c r="S10" s="13"/>
      <c r="T10" s="115"/>
      <c r="U10" s="116"/>
      <c r="V10" s="113"/>
      <c r="W10" s="112"/>
      <c r="X10" s="113"/>
      <c r="Y10" s="117"/>
      <c r="Z10" s="113"/>
      <c r="AA10" s="118"/>
      <c r="AB10" s="119"/>
      <c r="AC10" s="117"/>
      <c r="AD10" s="113"/>
      <c r="AE10" s="118"/>
      <c r="AF10" s="119"/>
      <c r="AH10" s="113"/>
      <c r="AI10" s="118"/>
      <c r="AJ10" s="119"/>
    </row>
    <row r="11" spans="1:36" ht="13.45" hidden="1" customHeight="1" outlineLevel="1" x14ac:dyDescent="0.4">
      <c r="A11" s="120" t="s">
        <v>47</v>
      </c>
      <c r="E11" s="113"/>
      <c r="G11" s="119"/>
      <c r="H11" s="113"/>
      <c r="I11" s="13"/>
      <c r="J11" s="13"/>
      <c r="K11" s="13"/>
      <c r="L11" s="13"/>
      <c r="M11" s="13"/>
      <c r="N11" s="13"/>
      <c r="O11" s="13"/>
      <c r="P11" s="13"/>
      <c r="Q11" s="114"/>
      <c r="R11" s="13"/>
      <c r="S11" s="13"/>
      <c r="U11" s="117"/>
      <c r="V11" s="113"/>
      <c r="W11" s="119"/>
      <c r="X11" s="113"/>
      <c r="Y11" s="117"/>
      <c r="Z11" s="113"/>
      <c r="AA11" s="118"/>
      <c r="AB11" s="119"/>
      <c r="AC11" s="117"/>
      <c r="AD11" s="113"/>
      <c r="AE11" s="118"/>
      <c r="AF11" s="119"/>
      <c r="AH11" s="113"/>
      <c r="AI11" s="118"/>
      <c r="AJ11" s="119"/>
    </row>
    <row r="12" spans="1:36" s="139" customFormat="1" ht="13.45" hidden="1" customHeight="1" outlineLevel="1" x14ac:dyDescent="0.35">
      <c r="A12" s="121" t="s">
        <v>48</v>
      </c>
      <c r="B12" s="121" t="s">
        <v>49</v>
      </c>
      <c r="C12" s="121"/>
      <c r="D12" s="122" t="s">
        <v>50</v>
      </c>
      <c r="E12" s="123"/>
      <c r="F12" s="124">
        <v>1729.93</v>
      </c>
      <c r="G12" s="125">
        <f>E12-F12</f>
        <v>-1729.93</v>
      </c>
      <c r="H12" s="126">
        <v>189322000</v>
      </c>
      <c r="I12" s="127">
        <v>189322000</v>
      </c>
      <c r="J12" s="128">
        <f>I12-H12</f>
        <v>0</v>
      </c>
      <c r="K12" s="129">
        <v>189322000</v>
      </c>
      <c r="L12" s="130">
        <f>-1100000-1004325-2410380-1339100-54866-1256+1004325+1048700+61600+308400+370100+58333.33</f>
        <v>-3058468.67</v>
      </c>
      <c r="M12" s="131">
        <f>616900</f>
        <v>616900</v>
      </c>
      <c r="N12" s="129">
        <f>K12+M12+L12</f>
        <v>186880431.33000001</v>
      </c>
      <c r="O12" s="129"/>
      <c r="P12" s="129">
        <f>N12+O12</f>
        <v>186880431.33000001</v>
      </c>
      <c r="Q12" s="126">
        <v>157569403.12</v>
      </c>
      <c r="R12" s="127">
        <f>'[1]Salary Projections'!B10-'[1]Operating Results'!Q12</f>
        <v>24155022.979999989</v>
      </c>
      <c r="S12" s="127">
        <f>SUM(Q12:R12)</f>
        <v>181724426.09999999</v>
      </c>
      <c r="T12" s="132">
        <f>IF(ISERR(Q12/S12),"-",Q12/S12)</f>
        <v>0.8670788319523548</v>
      </c>
      <c r="U12" s="133">
        <f>S12-I12</f>
        <v>-7597573.900000006</v>
      </c>
      <c r="V12" s="133">
        <f>P12-S12</f>
        <v>5156005.2300000191</v>
      </c>
      <c r="W12" s="134">
        <f>IF(ISERR(V12/P12),"-",V12/P12)</f>
        <v>2.7589861567128792E-2</v>
      </c>
      <c r="X12" s="135"/>
      <c r="Y12" s="136"/>
      <c r="Z12" s="137">
        <f>'[1]2021-22'!C45</f>
        <v>139777642.06999999</v>
      </c>
      <c r="AA12" s="138">
        <f>O12-Z12</f>
        <v>-139777642.06999999</v>
      </c>
      <c r="AB12" s="134">
        <f>IF(ISERR(AA12/Z12),"-",AA12/Z12)</f>
        <v>-1</v>
      </c>
      <c r="AC12" s="136"/>
      <c r="AD12" s="137">
        <v>138179161.40000001</v>
      </c>
      <c r="AE12" s="138">
        <f>S12-AD12</f>
        <v>43545264.699999988</v>
      </c>
      <c r="AF12" s="134">
        <f>IF(ISERR(AE12/AD12),"-",AE12/AD12)</f>
        <v>0.31513626409951556</v>
      </c>
      <c r="AH12" s="137">
        <f>133588773.74-37.94</f>
        <v>133588735.8</v>
      </c>
      <c r="AI12" s="138">
        <f>S12-AH12</f>
        <v>48135690.299999997</v>
      </c>
      <c r="AJ12" s="134">
        <f>IF(ISERR(AI12/AH12),"-",AI12/AH12)</f>
        <v>0.36032746332793725</v>
      </c>
    </row>
    <row r="13" spans="1:36" s="139" customFormat="1" ht="13.45" hidden="1" customHeight="1" outlineLevel="1" x14ac:dyDescent="0.35">
      <c r="A13" s="121"/>
      <c r="B13" s="121"/>
      <c r="C13" s="121"/>
      <c r="D13" s="122" t="s">
        <v>51</v>
      </c>
      <c r="E13" s="123"/>
      <c r="F13" s="124">
        <v>1710.82</v>
      </c>
      <c r="G13" s="125">
        <f>E13-F13</f>
        <v>-1710.82</v>
      </c>
      <c r="H13" s="126"/>
      <c r="I13" s="127"/>
      <c r="J13" s="140"/>
      <c r="K13" s="129"/>
      <c r="L13" s="130"/>
      <c r="M13" s="141"/>
      <c r="N13" s="129"/>
      <c r="O13" s="129"/>
      <c r="P13" s="142"/>
      <c r="Q13" s="126"/>
      <c r="R13" s="127"/>
      <c r="S13" s="143"/>
      <c r="T13" s="132"/>
      <c r="U13" s="144"/>
      <c r="V13" s="144"/>
      <c r="W13" s="134"/>
      <c r="X13" s="135"/>
      <c r="Y13" s="136"/>
      <c r="Z13" s="145"/>
      <c r="AA13" s="138"/>
      <c r="AB13" s="134"/>
      <c r="AC13" s="136"/>
      <c r="AD13" s="145"/>
      <c r="AE13" s="138"/>
      <c r="AF13" s="134"/>
      <c r="AH13" s="145"/>
      <c r="AI13" s="138"/>
      <c r="AJ13" s="134"/>
    </row>
    <row r="14" spans="1:36" s="52" customFormat="1" ht="13.45" hidden="1" customHeight="1" outlineLevel="1" x14ac:dyDescent="0.35">
      <c r="A14" s="146" t="s">
        <v>52</v>
      </c>
      <c r="B14" s="146" t="s">
        <v>53</v>
      </c>
      <c r="C14" s="147"/>
      <c r="D14" s="147"/>
      <c r="E14" s="148"/>
      <c r="F14" s="149"/>
      <c r="G14" s="150"/>
      <c r="H14" s="151">
        <v>5758900</v>
      </c>
      <c r="I14" s="152">
        <v>5758900</v>
      </c>
      <c r="J14" s="153">
        <f>I14-H14</f>
        <v>0</v>
      </c>
      <c r="K14" s="142">
        <v>5758900</v>
      </c>
      <c r="L14" s="130"/>
      <c r="M14" s="141">
        <v>300</v>
      </c>
      <c r="N14" s="142">
        <f>K14+M14+L14</f>
        <v>5759200</v>
      </c>
      <c r="O14" s="142"/>
      <c r="P14" s="142">
        <f>N14+O14</f>
        <v>5759200</v>
      </c>
      <c r="Q14" s="154">
        <v>6168632.0499999998</v>
      </c>
      <c r="R14" s="155">
        <f>'[1]Salary Projections'!B17-'[1]Operating Results'!Q14</f>
        <v>2469628.3480000002</v>
      </c>
      <c r="S14" s="155">
        <f>SUM(Q14:R14)</f>
        <v>8638260.398</v>
      </c>
      <c r="T14" s="156">
        <f t="shared" ref="T14:T22" si="0">IF(ISERR(Q14/S14),"-",Q14/S14)</f>
        <v>0.71410582290714586</v>
      </c>
      <c r="U14" s="157">
        <f t="shared" ref="U14:U21" si="1">S14-I14</f>
        <v>2879360.398</v>
      </c>
      <c r="V14" s="157">
        <f t="shared" ref="V14:V21" si="2">P14-S14</f>
        <v>-2879060.398</v>
      </c>
      <c r="W14" s="134">
        <f>IF(ISERR(V14/P14),"-",V14/P14)</f>
        <v>-0.49990630608417835</v>
      </c>
      <c r="X14" s="158"/>
      <c r="Y14" s="159"/>
      <c r="Z14" s="151">
        <f>'[1]2021-22'!C47+'[1]2021-22'!C113</f>
        <v>5657218.0899999999</v>
      </c>
      <c r="AA14" s="160">
        <f>O14-Z14</f>
        <v>-5657218.0899999999</v>
      </c>
      <c r="AB14" s="134">
        <f>IF(ISERR(AA14/Z14),"-",AA14/Z14)</f>
        <v>-1</v>
      </c>
      <c r="AC14" s="159"/>
      <c r="AD14" s="151">
        <v>5720710.290000001</v>
      </c>
      <c r="AE14" s="160">
        <f>S14-AD14</f>
        <v>2917550.1079999991</v>
      </c>
      <c r="AF14" s="134">
        <f>IF(ISERR(AE14/AD14),"-",AE14/AD14)</f>
        <v>0.50999787790337459</v>
      </c>
      <c r="AH14" s="151">
        <f>5204095.43+301304.12</f>
        <v>5505399.5499999998</v>
      </c>
      <c r="AI14" s="160">
        <f>S14-AH14</f>
        <v>3132860.8480000002</v>
      </c>
      <c r="AJ14" s="134">
        <f t="shared" ref="AJ14:AJ16" si="3">IF(ISERR(AI14/AH14),"-",AI14/AH14)</f>
        <v>0.56905240383506772</v>
      </c>
    </row>
    <row r="15" spans="1:36" s="161" customFormat="1" ht="13.45" hidden="1" customHeight="1" outlineLevel="1" x14ac:dyDescent="0.35">
      <c r="A15" s="121" t="s">
        <v>54</v>
      </c>
      <c r="B15" s="121" t="s">
        <v>55</v>
      </c>
      <c r="E15" s="162"/>
      <c r="F15" s="163"/>
      <c r="G15" s="164"/>
      <c r="H15" s="151"/>
      <c r="I15" s="152"/>
      <c r="J15" s="153">
        <f t="shared" ref="J15:J21" si="4">I15-H15</f>
        <v>0</v>
      </c>
      <c r="K15" s="142"/>
      <c r="L15" s="130"/>
      <c r="M15" s="141"/>
      <c r="N15" s="142">
        <f t="shared" ref="N15:N21" si="5">K15+M15+L15</f>
        <v>0</v>
      </c>
      <c r="O15" s="142"/>
      <c r="P15" s="142">
        <f t="shared" ref="P15:P21" si="6">N15+O15</f>
        <v>0</v>
      </c>
      <c r="Q15" s="154"/>
      <c r="R15" s="155"/>
      <c r="S15" s="155">
        <f t="shared" ref="S15:S21" si="7">SUM(Q15:R15)</f>
        <v>0</v>
      </c>
      <c r="T15" s="156" t="str">
        <f t="shared" si="0"/>
        <v>-</v>
      </c>
      <c r="U15" s="157">
        <f t="shared" si="1"/>
        <v>0</v>
      </c>
      <c r="V15" s="157">
        <f t="shared" si="2"/>
        <v>0</v>
      </c>
      <c r="W15" s="134" t="str">
        <f t="shared" ref="W15:W22" si="8">IF(ISERR(V15/P15),"-",V15/P15)</f>
        <v>-</v>
      </c>
      <c r="X15" s="165"/>
      <c r="Y15" s="166"/>
      <c r="Z15" s="151">
        <f>'[1]2021-22'!C46+SUM('[1]2021-22'!C48:C80)+SUM('[1]2021-22'!C85:C86)+SUM('[1]2021-22'!C89:C107)</f>
        <v>4649246.18</v>
      </c>
      <c r="AA15" s="160">
        <f>O15-Z15</f>
        <v>-4649246.18</v>
      </c>
      <c r="AB15" s="134">
        <f>IF(ISERR(AA15/Z15),"-",AA15/Z15)</f>
        <v>-1</v>
      </c>
      <c r="AC15" s="166"/>
      <c r="AD15" s="151">
        <v>1522023.93</v>
      </c>
      <c r="AE15" s="160">
        <f>S15-AD15</f>
        <v>-1522023.93</v>
      </c>
      <c r="AF15" s="134">
        <f>IF(ISERR(AE15/AD15),"-",AE15/AD15)</f>
        <v>-1</v>
      </c>
      <c r="AH15" s="151">
        <v>2273060.5500000003</v>
      </c>
      <c r="AI15" s="160">
        <f>S15-AH15</f>
        <v>-2273060.5500000003</v>
      </c>
      <c r="AJ15" s="134">
        <f t="shared" si="3"/>
        <v>-1</v>
      </c>
    </row>
    <row r="16" spans="1:36" s="161" customFormat="1" ht="13.45" hidden="1" customHeight="1" outlineLevel="1" x14ac:dyDescent="0.35">
      <c r="A16" s="121" t="s">
        <v>56</v>
      </c>
      <c r="B16" s="121" t="s">
        <v>57</v>
      </c>
      <c r="E16" s="162"/>
      <c r="F16" s="163"/>
      <c r="G16" s="164"/>
      <c r="H16" s="151">
        <v>3313000</v>
      </c>
      <c r="I16" s="152">
        <f>3313000+375000</f>
        <v>3688000</v>
      </c>
      <c r="J16" s="153">
        <f t="shared" si="4"/>
        <v>375000</v>
      </c>
      <c r="K16" s="142">
        <v>3313000</v>
      </c>
      <c r="L16" s="130"/>
      <c r="M16" s="141">
        <f>222.76+103354+33449+66755+55970+13250+3800+20000+12900+3000+14400+2700+22600+13500</f>
        <v>365900.76</v>
      </c>
      <c r="N16" s="142">
        <f t="shared" si="5"/>
        <v>3678900.76</v>
      </c>
      <c r="O16" s="142">
        <v>375000</v>
      </c>
      <c r="P16" s="142">
        <f t="shared" si="6"/>
        <v>4053900.76</v>
      </c>
      <c r="Q16" s="154">
        <v>2529546.4700000002</v>
      </c>
      <c r="R16" s="155">
        <f>P16-Q16</f>
        <v>1524354.2899999996</v>
      </c>
      <c r="S16" s="155">
        <f t="shared" ref="S16:S17" si="9">SUM(Q16:R16)</f>
        <v>4053900.76</v>
      </c>
      <c r="T16" s="156">
        <f t="shared" si="0"/>
        <v>0.62397839013700973</v>
      </c>
      <c r="U16" s="157">
        <f t="shared" si="1"/>
        <v>365900.75999999978</v>
      </c>
      <c r="V16" s="157">
        <f t="shared" si="2"/>
        <v>0</v>
      </c>
      <c r="W16" s="134">
        <f t="shared" si="8"/>
        <v>0</v>
      </c>
      <c r="X16" s="165"/>
      <c r="Y16" s="166"/>
      <c r="Z16" s="151">
        <f>SUM('[1]2021-22'!C81:C84)+SUM('[1]2021-22'!C87:C88)+SUM('[1]2021-22'!C132:C133)+'[1]2021-22'!C135+SUM('[1]2021-22'!C242:C243)</f>
        <v>1186948.31</v>
      </c>
      <c r="AA16" s="160">
        <f>O16-Z16</f>
        <v>-811948.31</v>
      </c>
      <c r="AB16" s="134">
        <f>IF(ISERR(AA16/Z16),"-",AA16/Z16)</f>
        <v>-0.6840637483194193</v>
      </c>
      <c r="AC16" s="166"/>
      <c r="AD16" s="151">
        <v>1606083.2</v>
      </c>
      <c r="AE16" s="160">
        <f>S16-AD16</f>
        <v>2447817.5599999996</v>
      </c>
      <c r="AF16" s="134">
        <f>IF(ISERR(AE16/AD16),"-",AE16/AD16)</f>
        <v>1.5240913795748561</v>
      </c>
      <c r="AH16" s="151">
        <v>1638439.69</v>
      </c>
      <c r="AI16" s="160">
        <f>S16-AH16</f>
        <v>2415461.0699999998</v>
      </c>
      <c r="AJ16" s="134">
        <f t="shared" si="3"/>
        <v>1.4742447248699158</v>
      </c>
    </row>
    <row r="17" spans="1:36" s="161" customFormat="1" ht="13.45" hidden="1" customHeight="1" outlineLevel="1" x14ac:dyDescent="0.35">
      <c r="A17" s="121" t="s">
        <v>54</v>
      </c>
      <c r="B17" s="121" t="s">
        <v>58</v>
      </c>
      <c r="E17" s="162"/>
      <c r="F17" s="163"/>
      <c r="G17" s="164"/>
      <c r="H17" s="151">
        <f>10500+16500+7500+1500+1500+1500+10000</f>
        <v>49000</v>
      </c>
      <c r="I17" s="152">
        <v>49000</v>
      </c>
      <c r="J17" s="153">
        <f t="shared" si="4"/>
        <v>0</v>
      </c>
      <c r="K17" s="142">
        <v>49000</v>
      </c>
      <c r="L17" s="130"/>
      <c r="M17" s="141">
        <v>58981</v>
      </c>
      <c r="N17" s="142">
        <f t="shared" si="5"/>
        <v>107981</v>
      </c>
      <c r="O17" s="142"/>
      <c r="P17" s="142">
        <f t="shared" si="6"/>
        <v>107981</v>
      </c>
      <c r="Q17" s="154">
        <v>854909.96</v>
      </c>
      <c r="R17" s="155">
        <f>1000000-Q17+25000</f>
        <v>170090.04000000004</v>
      </c>
      <c r="S17" s="155">
        <f t="shared" si="9"/>
        <v>1025000</v>
      </c>
      <c r="T17" s="156">
        <f t="shared" si="0"/>
        <v>0.83405849756097561</v>
      </c>
      <c r="U17" s="157">
        <f t="shared" si="1"/>
        <v>976000</v>
      </c>
      <c r="V17" s="157">
        <f t="shared" si="2"/>
        <v>-917019</v>
      </c>
      <c r="W17" s="134">
        <f t="shared" si="8"/>
        <v>-8.4924107018827382</v>
      </c>
      <c r="X17" s="165"/>
      <c r="Y17" s="166"/>
      <c r="Z17" s="151"/>
      <c r="AA17" s="160"/>
      <c r="AB17" s="134"/>
      <c r="AC17" s="166"/>
      <c r="AD17" s="151"/>
      <c r="AE17" s="160"/>
      <c r="AF17" s="134"/>
      <c r="AH17" s="151"/>
      <c r="AI17" s="160"/>
      <c r="AJ17" s="134"/>
    </row>
    <row r="18" spans="1:36" ht="13.45" hidden="1" customHeight="1" outlineLevel="1" x14ac:dyDescent="0.35">
      <c r="A18" s="66" t="s">
        <v>59</v>
      </c>
      <c r="B18" s="66" t="s">
        <v>60</v>
      </c>
      <c r="E18" s="167"/>
      <c r="F18" s="168"/>
      <c r="G18" s="169"/>
      <c r="H18" s="170">
        <v>933000</v>
      </c>
      <c r="I18" s="152">
        <v>933000</v>
      </c>
      <c r="J18" s="153">
        <f t="shared" si="4"/>
        <v>0</v>
      </c>
      <c r="K18" s="142">
        <v>933000</v>
      </c>
      <c r="L18" s="130"/>
      <c r="M18" s="171"/>
      <c r="N18" s="142">
        <f t="shared" si="5"/>
        <v>933000</v>
      </c>
      <c r="O18" s="142"/>
      <c r="P18" s="142">
        <f t="shared" si="6"/>
        <v>933000</v>
      </c>
      <c r="Q18" s="172">
        <f>191741.51+870170.23</f>
        <v>1061911.74</v>
      </c>
      <c r="R18" s="155">
        <f>P18-Q18</f>
        <v>-128911.73999999999</v>
      </c>
      <c r="S18" s="155">
        <f t="shared" si="7"/>
        <v>933000</v>
      </c>
      <c r="T18" s="156">
        <f t="shared" si="0"/>
        <v>1.1381690675241158</v>
      </c>
      <c r="U18" s="157">
        <f t="shared" si="1"/>
        <v>0</v>
      </c>
      <c r="V18" s="157">
        <f t="shared" si="2"/>
        <v>0</v>
      </c>
      <c r="W18" s="134">
        <f t="shared" si="8"/>
        <v>0</v>
      </c>
      <c r="X18" s="173"/>
      <c r="Y18" s="174"/>
      <c r="Z18" s="175">
        <f>'[1]2021-22'!C254</f>
        <v>642127.06999999995</v>
      </c>
      <c r="AA18" s="160">
        <f>O18-Z18</f>
        <v>-642127.06999999995</v>
      </c>
      <c r="AB18" s="134">
        <f>IF(ISERR(AA18/Z18),"-",AA18/Z18)</f>
        <v>-1</v>
      </c>
      <c r="AC18" s="174"/>
      <c r="AD18" s="175">
        <v>751708.31</v>
      </c>
      <c r="AE18" s="160">
        <f>S18-AD18</f>
        <v>181291.68999999994</v>
      </c>
      <c r="AF18" s="134">
        <f>IF(ISERR(AE18/AD18),"-",AE18/AD18)</f>
        <v>0.24117292251298902</v>
      </c>
      <c r="AH18" s="175">
        <v>631242.92000000004</v>
      </c>
      <c r="AI18" s="160">
        <f>S18-AH18</f>
        <v>301757.07999999996</v>
      </c>
      <c r="AJ18" s="134">
        <f t="shared" ref="AJ18:AJ22" si="10">IF(ISERR(AI18/AH18),"-",AI18/AH18)</f>
        <v>0.47803637940208493</v>
      </c>
    </row>
    <row r="19" spans="1:36" ht="13.45" hidden="1" customHeight="1" outlineLevel="1" x14ac:dyDescent="0.35">
      <c r="A19" s="66" t="s">
        <v>61</v>
      </c>
      <c r="B19" s="66" t="s">
        <v>62</v>
      </c>
      <c r="E19" s="167"/>
      <c r="F19" s="168"/>
      <c r="G19" s="169"/>
      <c r="H19" s="170"/>
      <c r="I19" s="152">
        <v>75000</v>
      </c>
      <c r="J19" s="153">
        <f t="shared" si="4"/>
        <v>75000</v>
      </c>
      <c r="K19" s="142"/>
      <c r="L19" s="130"/>
      <c r="M19" s="171"/>
      <c r="N19" s="142">
        <f t="shared" si="5"/>
        <v>0</v>
      </c>
      <c r="O19" s="142">
        <v>75000</v>
      </c>
      <c r="P19" s="142">
        <f t="shared" si="6"/>
        <v>75000</v>
      </c>
      <c r="Q19" s="172">
        <v>14649.09</v>
      </c>
      <c r="R19" s="155">
        <f>75000-Q19</f>
        <v>60350.91</v>
      </c>
      <c r="S19" s="155">
        <f t="shared" ref="S19" si="11">SUM(Q19:R19)</f>
        <v>75000</v>
      </c>
      <c r="T19" s="156">
        <f t="shared" si="0"/>
        <v>0.1953212</v>
      </c>
      <c r="U19" s="157">
        <f t="shared" si="1"/>
        <v>0</v>
      </c>
      <c r="V19" s="157">
        <f t="shared" si="2"/>
        <v>0</v>
      </c>
      <c r="W19" s="134">
        <f t="shared" si="8"/>
        <v>0</v>
      </c>
      <c r="X19" s="173"/>
      <c r="Y19" s="174"/>
      <c r="Z19" s="175">
        <f>'[1]2021-22'!C267</f>
        <v>6306.31</v>
      </c>
      <c r="AA19" s="160">
        <f>O19-Z19</f>
        <v>68693.69</v>
      </c>
      <c r="AB19" s="134">
        <f>IF(ISERR(AA19/Z19),"-",AA19/Z19)</f>
        <v>10.892850177044895</v>
      </c>
      <c r="AC19" s="174"/>
      <c r="AD19" s="175">
        <v>863.24</v>
      </c>
      <c r="AE19" s="160">
        <f>S19-AD19</f>
        <v>74136.759999999995</v>
      </c>
      <c r="AF19" s="134">
        <f>IF(ISERR(AE19/AD19),"-",AE19/AD19)</f>
        <v>85.881979519021357</v>
      </c>
      <c r="AH19" s="175">
        <v>6579.25</v>
      </c>
      <c r="AI19" s="160">
        <f>S19-AH19</f>
        <v>68420.75</v>
      </c>
      <c r="AJ19" s="134">
        <f t="shared" si="10"/>
        <v>10.39947562412129</v>
      </c>
    </row>
    <row r="20" spans="1:36" ht="13.45" hidden="1" customHeight="1" outlineLevel="1" x14ac:dyDescent="0.35">
      <c r="A20" s="66" t="s">
        <v>63</v>
      </c>
      <c r="B20" s="66" t="s">
        <v>64</v>
      </c>
      <c r="E20" s="167"/>
      <c r="F20" s="168"/>
      <c r="G20" s="169"/>
      <c r="H20" s="170">
        <v>225400</v>
      </c>
      <c r="I20" s="152">
        <v>225400</v>
      </c>
      <c r="J20" s="153">
        <f t="shared" si="4"/>
        <v>0</v>
      </c>
      <c r="K20" s="142">
        <v>225400</v>
      </c>
      <c r="L20" s="130"/>
      <c r="M20" s="171">
        <v>1262</v>
      </c>
      <c r="N20" s="142">
        <f t="shared" si="5"/>
        <v>226662</v>
      </c>
      <c r="O20" s="142"/>
      <c r="P20" s="142">
        <f t="shared" si="6"/>
        <v>226662</v>
      </c>
      <c r="Q20" s="157">
        <v>-299795.58</v>
      </c>
      <c r="R20" s="155">
        <f>P20-Q20</f>
        <v>526457.58000000007</v>
      </c>
      <c r="S20" s="155">
        <f t="shared" si="7"/>
        <v>226662.00000000006</v>
      </c>
      <c r="T20" s="156">
        <f t="shared" si="0"/>
        <v>-1.3226547899515575</v>
      </c>
      <c r="U20" s="157">
        <f t="shared" si="1"/>
        <v>1262.0000000000582</v>
      </c>
      <c r="V20" s="157">
        <f t="shared" si="2"/>
        <v>0</v>
      </c>
      <c r="W20" s="134">
        <f t="shared" si="8"/>
        <v>0</v>
      </c>
      <c r="X20" s="173"/>
      <c r="Y20" s="174"/>
      <c r="Z20" s="175">
        <f>'[1]2021-22'!C301</f>
        <v>226200</v>
      </c>
      <c r="AA20" s="160">
        <f>O20-Z20</f>
        <v>-226200</v>
      </c>
      <c r="AB20" s="134">
        <f>IF(ISERR(AA20/Z20),"-",AA20/Z20)</f>
        <v>-1</v>
      </c>
      <c r="AC20" s="174"/>
      <c r="AD20" s="175">
        <v>223600</v>
      </c>
      <c r="AE20" s="160">
        <f>S20-AD20</f>
        <v>3062.0000000000582</v>
      </c>
      <c r="AF20" s="134">
        <f>IF(ISERR(AE20/AD20),"-",AE20/AD20)</f>
        <v>1.3694096601073605E-2</v>
      </c>
      <c r="AH20" s="175">
        <v>224800</v>
      </c>
      <c r="AI20" s="160">
        <f>S20-AH20</f>
        <v>1862.0000000000582</v>
      </c>
      <c r="AJ20" s="134">
        <f t="shared" si="10"/>
        <v>8.2829181494664516E-3</v>
      </c>
    </row>
    <row r="21" spans="1:36" ht="13.45" hidden="1" customHeight="1" outlineLevel="1" x14ac:dyDescent="0.35">
      <c r="A21" s="66" t="s">
        <v>65</v>
      </c>
      <c r="B21" s="66" t="s">
        <v>66</v>
      </c>
      <c r="E21" s="167"/>
      <c r="F21" s="168"/>
      <c r="G21" s="169"/>
      <c r="H21" s="176"/>
      <c r="I21" s="152">
        <v>106320</v>
      </c>
      <c r="J21" s="153">
        <f t="shared" si="4"/>
        <v>106320</v>
      </c>
      <c r="K21" s="171"/>
      <c r="L21" s="130"/>
      <c r="M21" s="171"/>
      <c r="N21" s="142">
        <f t="shared" si="5"/>
        <v>0</v>
      </c>
      <c r="O21" s="142">
        <v>106320</v>
      </c>
      <c r="P21" s="142">
        <f t="shared" si="6"/>
        <v>106320</v>
      </c>
      <c r="Q21" s="157">
        <v>57512.28</v>
      </c>
      <c r="R21" s="155">
        <f>P21-Q21</f>
        <v>48807.72</v>
      </c>
      <c r="S21" s="155">
        <f t="shared" si="7"/>
        <v>106320</v>
      </c>
      <c r="T21" s="156">
        <f t="shared" si="0"/>
        <v>0.54093566591422115</v>
      </c>
      <c r="U21" s="157">
        <f t="shared" si="1"/>
        <v>0</v>
      </c>
      <c r="V21" s="157">
        <f t="shared" si="2"/>
        <v>0</v>
      </c>
      <c r="W21" s="134">
        <f t="shared" si="8"/>
        <v>0</v>
      </c>
      <c r="X21" s="173"/>
      <c r="Y21" s="174"/>
      <c r="Z21" s="175">
        <f>'[1]2021-22'!C806</f>
        <v>40387.129999999997</v>
      </c>
      <c r="AA21" s="160">
        <f>O21-Z21</f>
        <v>65932.87</v>
      </c>
      <c r="AB21" s="134">
        <f>IF(ISERR(AA21/Z21),"-",AA21/Z21)</f>
        <v>1.6325217959285545</v>
      </c>
      <c r="AC21" s="174"/>
      <c r="AD21" s="175">
        <v>86256.1</v>
      </c>
      <c r="AE21" s="160">
        <f>S21-AD21</f>
        <v>20063.899999999994</v>
      </c>
      <c r="AF21" s="134">
        <f>IF(ISERR(AE21/AD21),"-",AE21/AD21)</f>
        <v>0.23260847638601784</v>
      </c>
      <c r="AH21" s="175">
        <v>0</v>
      </c>
      <c r="AI21" s="160">
        <f>S21-AH21</f>
        <v>106320</v>
      </c>
      <c r="AJ21" s="134" t="str">
        <f t="shared" si="10"/>
        <v>-</v>
      </c>
    </row>
    <row r="22" spans="1:36" ht="13.45" customHeight="1" collapsed="1" x14ac:dyDescent="0.4">
      <c r="A22" s="1" t="s">
        <v>67</v>
      </c>
      <c r="B22" s="13"/>
      <c r="E22" s="177">
        <f>E13</f>
        <v>0</v>
      </c>
      <c r="F22" s="178">
        <f>F13</f>
        <v>1710.82</v>
      </c>
      <c r="G22" s="179">
        <f>G13</f>
        <v>-1710.82</v>
      </c>
      <c r="H22" s="180">
        <f>SUM(H12:H20)</f>
        <v>199601300</v>
      </c>
      <c r="I22" s="180">
        <f t="shared" ref="I22:S22" si="12">SUM(I12:I21)</f>
        <v>200157620</v>
      </c>
      <c r="J22" s="181">
        <f t="shared" si="12"/>
        <v>556320</v>
      </c>
      <c r="K22" s="182">
        <f t="shared" si="12"/>
        <v>199601300</v>
      </c>
      <c r="L22" s="183">
        <f>SUM(L12:L21)</f>
        <v>-3058468.67</v>
      </c>
      <c r="M22" s="184">
        <f t="shared" si="12"/>
        <v>1043343.76</v>
      </c>
      <c r="N22" s="185">
        <f t="shared" si="12"/>
        <v>197586175.09</v>
      </c>
      <c r="O22" s="186">
        <f t="shared" si="12"/>
        <v>556320</v>
      </c>
      <c r="P22" s="185">
        <f t="shared" si="12"/>
        <v>198142495.09</v>
      </c>
      <c r="Q22" s="187">
        <f t="shared" si="12"/>
        <v>167956769.13000003</v>
      </c>
      <c r="R22" s="188">
        <f t="shared" si="12"/>
        <v>28825800.127999991</v>
      </c>
      <c r="S22" s="188">
        <f t="shared" si="12"/>
        <v>196782569.25799999</v>
      </c>
      <c r="T22" s="189">
        <f t="shared" si="0"/>
        <v>0.85351446402650277</v>
      </c>
      <c r="U22" s="190">
        <f>SUM(U12:U21)</f>
        <v>-3375050.7420000061</v>
      </c>
      <c r="V22" s="190">
        <f>SUM(V12:V21)</f>
        <v>1359925.832000019</v>
      </c>
      <c r="W22" s="191">
        <f t="shared" si="8"/>
        <v>6.8633729043450038E-3</v>
      </c>
      <c r="X22" s="192"/>
      <c r="Y22" s="174"/>
      <c r="Z22" s="193">
        <f>SUM(Z12:Z21)</f>
        <v>152186075.16</v>
      </c>
      <c r="AA22" s="194">
        <f>SUM(AA12:AA21)</f>
        <v>-151629755.16</v>
      </c>
      <c r="AB22" s="191">
        <f>IF(ISERR(AA22/Z22),"-",AA22/Z22)</f>
        <v>-0.99634447501576529</v>
      </c>
      <c r="AC22" s="174"/>
      <c r="AD22" s="193">
        <f>SUM(AD12:AD21)</f>
        <v>148090406.47</v>
      </c>
      <c r="AE22" s="194">
        <f>SUM(AE12:AE21)</f>
        <v>47667162.78799998</v>
      </c>
      <c r="AF22" s="191">
        <f>IF(ISERR(AE22/AD22),"-",AE22/AD22)</f>
        <v>0.32187880311920369</v>
      </c>
      <c r="AH22" s="193">
        <f>SUM(AH12:AH21)</f>
        <v>143868257.75999999</v>
      </c>
      <c r="AI22" s="194">
        <f>SUM(AI12:AI21)</f>
        <v>51889311.497999996</v>
      </c>
      <c r="AJ22" s="191">
        <f t="shared" si="10"/>
        <v>0.36067241173213743</v>
      </c>
    </row>
    <row r="23" spans="1:36" ht="13.45" customHeight="1" x14ac:dyDescent="0.4">
      <c r="A23" s="1"/>
      <c r="B23" s="13"/>
      <c r="E23" s="195"/>
      <c r="F23" s="196"/>
      <c r="G23" s="197"/>
      <c r="H23" s="195"/>
      <c r="I23" s="198"/>
      <c r="J23" s="198"/>
      <c r="K23" s="199"/>
      <c r="L23" s="130"/>
      <c r="M23" s="199"/>
      <c r="N23" s="199"/>
      <c r="O23" s="199"/>
      <c r="P23" s="199"/>
      <c r="Q23" s="200"/>
      <c r="R23" s="198"/>
      <c r="S23" s="198"/>
      <c r="T23" s="198"/>
      <c r="U23" s="201"/>
      <c r="V23" s="202"/>
      <c r="W23" s="203"/>
      <c r="X23" s="204"/>
      <c r="Y23" s="205"/>
      <c r="Z23" s="113"/>
      <c r="AA23" s="118"/>
      <c r="AB23" s="119"/>
      <c r="AC23" s="205"/>
      <c r="AD23" s="113"/>
      <c r="AE23" s="118"/>
      <c r="AF23" s="119"/>
      <c r="AH23" s="113"/>
      <c r="AI23" s="118"/>
      <c r="AJ23" s="119"/>
    </row>
    <row r="24" spans="1:36" ht="13.45" customHeight="1" x14ac:dyDescent="0.4">
      <c r="A24" s="13"/>
      <c r="B24" s="13"/>
      <c r="E24" s="195"/>
      <c r="F24" s="196"/>
      <c r="G24" s="197"/>
      <c r="H24" s="195"/>
      <c r="I24" s="206"/>
      <c r="J24" s="206"/>
      <c r="K24" s="207"/>
      <c r="L24" s="130"/>
      <c r="M24" s="207"/>
      <c r="N24" s="208"/>
      <c r="O24" s="208"/>
      <c r="P24" s="208"/>
      <c r="Q24" s="209"/>
      <c r="R24" s="210"/>
      <c r="S24" s="210"/>
      <c r="T24" s="210"/>
      <c r="U24" s="211"/>
      <c r="V24" s="212"/>
      <c r="W24" s="213"/>
      <c r="X24" s="173"/>
      <c r="Y24" s="174"/>
      <c r="Z24" s="113"/>
      <c r="AA24" s="118"/>
      <c r="AB24" s="119"/>
      <c r="AC24" s="174"/>
      <c r="AD24" s="113"/>
      <c r="AE24" s="118"/>
      <c r="AF24" s="119"/>
      <c r="AH24" s="113"/>
      <c r="AI24" s="118"/>
      <c r="AJ24" s="119"/>
    </row>
    <row r="25" spans="1:36" ht="13.45" hidden="1" customHeight="1" outlineLevel="1" x14ac:dyDescent="0.4">
      <c r="A25" s="120" t="s">
        <v>68</v>
      </c>
      <c r="B25" s="13"/>
      <c r="E25" s="195"/>
      <c r="F25" s="196"/>
      <c r="G25" s="197"/>
      <c r="H25" s="195"/>
      <c r="I25" s="214"/>
      <c r="J25" s="214"/>
      <c r="K25" s="215"/>
      <c r="L25" s="130"/>
      <c r="M25" s="215"/>
      <c r="N25" s="141"/>
      <c r="O25" s="141"/>
      <c r="P25" s="141"/>
      <c r="Q25" s="113"/>
      <c r="U25" s="117"/>
      <c r="V25" s="212"/>
      <c r="W25" s="213"/>
      <c r="X25" s="173"/>
      <c r="Y25" s="174"/>
      <c r="Z25" s="113"/>
      <c r="AA25" s="118"/>
      <c r="AB25" s="119"/>
      <c r="AC25" s="174"/>
      <c r="AD25" s="113"/>
      <c r="AE25" s="118"/>
      <c r="AF25" s="119"/>
      <c r="AH25" s="113"/>
      <c r="AI25" s="118"/>
      <c r="AJ25" s="119"/>
    </row>
    <row r="26" spans="1:36" s="161" customFormat="1" ht="13.45" hidden="1" customHeight="1" outlineLevel="1" x14ac:dyDescent="0.45">
      <c r="A26" s="121" t="s">
        <v>69</v>
      </c>
      <c r="B26" s="121" t="s">
        <v>70</v>
      </c>
      <c r="E26" s="162"/>
      <c r="F26" s="163"/>
      <c r="G26" s="164"/>
      <c r="H26" s="151"/>
      <c r="I26" s="152">
        <v>200000</v>
      </c>
      <c r="J26" s="153">
        <f t="shared" ref="J26:J35" si="13">I26-H26</f>
        <v>200000</v>
      </c>
      <c r="K26" s="142"/>
      <c r="L26" s="130"/>
      <c r="M26" s="216">
        <f>31859+331200+63556+251993.85+63556+400+16050+24000+245869+6666-63556</f>
        <v>971593.85</v>
      </c>
      <c r="N26" s="142">
        <f>K26+M26+L26</f>
        <v>971593.85</v>
      </c>
      <c r="O26" s="142">
        <v>200000</v>
      </c>
      <c r="P26" s="142">
        <f>N26+O26</f>
        <v>1171593.8500000001</v>
      </c>
      <c r="Q26" s="154">
        <f>723868.32+29830.3+253+1465.62</f>
        <v>755417.24</v>
      </c>
      <c r="R26" s="155">
        <f>P26-Q26</f>
        <v>416176.6100000001</v>
      </c>
      <c r="S26" s="152">
        <f t="shared" ref="S26:S27" si="14">SUM(Q26:R26)</f>
        <v>1171593.8500000001</v>
      </c>
      <c r="T26" s="132">
        <f t="shared" ref="T26:T27" si="15">IF(ISERR(Q26/S26),"-",Q26/S26)</f>
        <v>0.64477740302238695</v>
      </c>
      <c r="U26" s="217">
        <f>S26-I26</f>
        <v>971593.85000000009</v>
      </c>
      <c r="V26" s="218">
        <f t="shared" ref="V26:V35" si="16">P26-S26</f>
        <v>0</v>
      </c>
      <c r="W26" s="134">
        <f t="shared" ref="W26:W27" si="17">IF(ISERR(V26/P26),"-",V26/P26)</f>
        <v>0</v>
      </c>
      <c r="X26" s="219"/>
      <c r="Y26" s="220"/>
      <c r="Z26" s="137">
        <f>'[1]2021-22'!C112+SUM('[1]2021-22'!C114:C131)+'[1]2021-22'!C134+SUM('[1]2021-22'!C136:C146)</f>
        <v>722513.42</v>
      </c>
      <c r="AA26" s="221">
        <f>O26-Z26</f>
        <v>-522513.42000000004</v>
      </c>
      <c r="AB26" s="134">
        <f>IF(ISERR(AA26/Z26),"-",AA26/Z26)</f>
        <v>-0.72318853260884763</v>
      </c>
      <c r="AC26" s="220"/>
      <c r="AD26" s="137">
        <v>404900.30000000005</v>
      </c>
      <c r="AE26" s="221">
        <f>S26-AD26</f>
        <v>766693.55</v>
      </c>
      <c r="AF26" s="134">
        <f>IF(ISERR(AE26/AD26),"-",AE26/AD26)</f>
        <v>1.8935366311163513</v>
      </c>
      <c r="AH26" s="137">
        <v>441765.51</v>
      </c>
      <c r="AI26" s="221">
        <f>S26-AH26</f>
        <v>729828.34000000008</v>
      </c>
      <c r="AJ26" s="134">
        <f>IF(ISERR(AI26/AH26),"-",AI26/AH26)</f>
        <v>1.6520717970943455</v>
      </c>
    </row>
    <row r="27" spans="1:36" s="161" customFormat="1" ht="13.45" hidden="1" customHeight="1" outlineLevel="1" x14ac:dyDescent="0.45">
      <c r="A27" s="121" t="s">
        <v>71</v>
      </c>
      <c r="B27" s="121" t="s">
        <v>72</v>
      </c>
      <c r="D27" s="122" t="s">
        <v>50</v>
      </c>
      <c r="E27" s="123"/>
      <c r="F27" s="124">
        <f>612+3.28</f>
        <v>615.28</v>
      </c>
      <c r="G27" s="125">
        <f>E27-F27</f>
        <v>-615.28</v>
      </c>
      <c r="H27" s="151">
        <f>32334000+94500</f>
        <v>32428500</v>
      </c>
      <c r="I27" s="152">
        <f>32428500+1063100</f>
        <v>33491600</v>
      </c>
      <c r="J27" s="153">
        <f t="shared" si="13"/>
        <v>1063100</v>
      </c>
      <c r="K27" s="142">
        <v>32428500</v>
      </c>
      <c r="L27" s="130"/>
      <c r="M27" s="216"/>
      <c r="N27" s="142">
        <f t="shared" ref="N27:N35" si="18">K27+M27+L27</f>
        <v>32428500</v>
      </c>
      <c r="O27" s="142">
        <v>1063100</v>
      </c>
      <c r="P27" s="142">
        <f t="shared" ref="P27:P35" si="19">N27+O27</f>
        <v>33491600</v>
      </c>
      <c r="Q27" s="154">
        <v>25457347.739999998</v>
      </c>
      <c r="R27" s="155">
        <f>'[1]Salary Projections'!E10-'[1]Operating Results'!Q27</f>
        <v>7275638.9299999997</v>
      </c>
      <c r="S27" s="152">
        <f t="shared" si="14"/>
        <v>32732986.669999998</v>
      </c>
      <c r="T27" s="132">
        <f t="shared" si="15"/>
        <v>0.77772761760636488</v>
      </c>
      <c r="U27" s="217">
        <f>S27-I27</f>
        <v>-758613.33000000194</v>
      </c>
      <c r="V27" s="218">
        <f t="shared" si="16"/>
        <v>758613.33000000194</v>
      </c>
      <c r="W27" s="134">
        <f t="shared" si="17"/>
        <v>2.2650853646884649E-2</v>
      </c>
      <c r="Y27" s="222"/>
      <c r="Z27" s="151">
        <f>'[1]2021-22'!C323</f>
        <v>26633006.329999998</v>
      </c>
      <c r="AA27" s="160">
        <f>O27-Z27</f>
        <v>-25569906.329999998</v>
      </c>
      <c r="AB27" s="134">
        <f>IF(ISERR(AA27/Z27),"-",AA27/Z27)</f>
        <v>-0.96008336472317435</v>
      </c>
      <c r="AC27" s="222"/>
      <c r="AD27" s="151">
        <v>17360452.969999999</v>
      </c>
      <c r="AE27" s="160">
        <f>S27-AD27</f>
        <v>15372533.699999999</v>
      </c>
      <c r="AF27" s="134">
        <f>IF(ISERR(AE27/AD27),"-",AE27/AD27)</f>
        <v>0.8854915091538651</v>
      </c>
      <c r="AH27" s="151">
        <v>15896579.539999999</v>
      </c>
      <c r="AI27" s="160">
        <f>S27-AH27</f>
        <v>16836407.129999999</v>
      </c>
      <c r="AJ27" s="134">
        <f t="shared" ref="AJ27" si="20">IF(ISERR(AI27/AH27),"-",AI27/AH27)</f>
        <v>1.059121371841983</v>
      </c>
    </row>
    <row r="28" spans="1:36" s="161" customFormat="1" ht="13.45" hidden="1" customHeight="1" outlineLevel="1" x14ac:dyDescent="0.45">
      <c r="A28" s="121"/>
      <c r="B28" s="121"/>
      <c r="D28" s="122" t="s">
        <v>51</v>
      </c>
      <c r="E28" s="123"/>
      <c r="F28" s="124">
        <f>F27</f>
        <v>615.28</v>
      </c>
      <c r="G28" s="125">
        <f>E28-F28</f>
        <v>-615.28</v>
      </c>
      <c r="H28" s="151"/>
      <c r="I28" s="152"/>
      <c r="J28" s="153"/>
      <c r="K28" s="142"/>
      <c r="L28" s="130"/>
      <c r="M28" s="216"/>
      <c r="N28" s="142">
        <f t="shared" si="18"/>
        <v>0</v>
      </c>
      <c r="O28" s="142"/>
      <c r="P28" s="142"/>
      <c r="Q28" s="154"/>
      <c r="R28" s="155"/>
      <c r="S28" s="152"/>
      <c r="T28" s="132"/>
      <c r="U28" s="217"/>
      <c r="V28" s="218"/>
      <c r="W28" s="134"/>
      <c r="Y28" s="222"/>
      <c r="Z28" s="151"/>
      <c r="AA28" s="160"/>
      <c r="AB28" s="134"/>
      <c r="AC28" s="222"/>
      <c r="AD28" s="151"/>
      <c r="AE28" s="160"/>
      <c r="AF28" s="134"/>
      <c r="AH28" s="151"/>
      <c r="AI28" s="160"/>
      <c r="AJ28" s="134"/>
    </row>
    <row r="29" spans="1:36" s="161" customFormat="1" ht="13.45" hidden="1" customHeight="1" outlineLevel="1" x14ac:dyDescent="0.45">
      <c r="A29" s="121" t="s">
        <v>73</v>
      </c>
      <c r="B29" s="121" t="s">
        <v>74</v>
      </c>
      <c r="D29" s="122"/>
      <c r="E29" s="223"/>
      <c r="F29" s="124"/>
      <c r="G29" s="125"/>
      <c r="H29" s="151"/>
      <c r="I29" s="152"/>
      <c r="J29" s="153">
        <f t="shared" ref="J29" si="21">I29-H29</f>
        <v>0</v>
      </c>
      <c r="K29" s="142"/>
      <c r="L29" s="130"/>
      <c r="M29" s="216"/>
      <c r="N29" s="142">
        <f t="shared" si="18"/>
        <v>0</v>
      </c>
      <c r="O29" s="142"/>
      <c r="P29" s="142">
        <f t="shared" si="19"/>
        <v>0</v>
      </c>
      <c r="Q29" s="154">
        <v>1848403.31</v>
      </c>
      <c r="R29" s="155">
        <f>'[1]Salary Projections'!E17-'[1]Operating Results'!Q29</f>
        <v>671385.97599999979</v>
      </c>
      <c r="S29" s="152">
        <f t="shared" ref="S29:S35" si="22">SUM(Q29:R29)</f>
        <v>2519789.2859999998</v>
      </c>
      <c r="T29" s="132">
        <f t="shared" ref="T29:T35" si="23">IF(ISERR(Q29/S29),"-",Q29/S29)</f>
        <v>0.73355471438416142</v>
      </c>
      <c r="U29" s="217">
        <f>S29-I29</f>
        <v>2519789.2859999998</v>
      </c>
      <c r="V29" s="218">
        <f t="shared" si="16"/>
        <v>-2519789.2859999998</v>
      </c>
      <c r="W29" s="134" t="str">
        <f t="shared" ref="W29:W33" si="24">IF(ISERR(V29/P29),"-",V29/P29)</f>
        <v>-</v>
      </c>
      <c r="X29" s="165"/>
      <c r="Y29" s="166"/>
      <c r="Z29" s="151">
        <f>'[1]2021-22'!C324</f>
        <v>265505.84999999998</v>
      </c>
      <c r="AA29" s="160">
        <f>O29-Z29</f>
        <v>-265505.84999999998</v>
      </c>
      <c r="AB29" s="134">
        <f>IF(ISERR(AA29/Z29),"-",AA29/Z29)</f>
        <v>-1</v>
      </c>
      <c r="AC29" s="166"/>
      <c r="AD29" s="151">
        <v>209529.43</v>
      </c>
      <c r="AE29" s="160">
        <f>S29-AD29</f>
        <v>2310259.8559999997</v>
      </c>
      <c r="AF29" s="134">
        <f>IF(ISERR(AE29/AD29),"-",AE29/AD29)</f>
        <v>11.025944450858287</v>
      </c>
      <c r="AH29" s="151">
        <v>195640.69</v>
      </c>
      <c r="AI29" s="160">
        <f>S29-AH29</f>
        <v>2324148.5959999999</v>
      </c>
      <c r="AJ29" s="134">
        <f t="shared" ref="AJ29:AJ33" si="25">IF(ISERR(AI29/AH29),"-",AI29/AH29)</f>
        <v>11.879678997247453</v>
      </c>
    </row>
    <row r="30" spans="1:36" s="161" customFormat="1" ht="13.45" hidden="1" customHeight="1" outlineLevel="1" x14ac:dyDescent="0.45">
      <c r="A30" s="121" t="s">
        <v>75</v>
      </c>
      <c r="B30" s="121" t="s">
        <v>76</v>
      </c>
      <c r="E30" s="162"/>
      <c r="F30" s="163"/>
      <c r="G30" s="164"/>
      <c r="H30" s="151">
        <v>1772600</v>
      </c>
      <c r="I30" s="152">
        <v>1772600</v>
      </c>
      <c r="J30" s="153">
        <f t="shared" si="13"/>
        <v>0</v>
      </c>
      <c r="K30" s="142">
        <v>1772600</v>
      </c>
      <c r="L30" s="130"/>
      <c r="M30" s="216"/>
      <c r="N30" s="142">
        <f t="shared" si="18"/>
        <v>1772600</v>
      </c>
      <c r="O30" s="142"/>
      <c r="P30" s="142">
        <f t="shared" si="19"/>
        <v>1772600</v>
      </c>
      <c r="Q30" s="154">
        <v>3866822.01</v>
      </c>
      <c r="R30" s="155">
        <f>'[1]Salary Projections'!E24-'[1]Operating Results'!Q30</f>
        <v>1419521.1660000002</v>
      </c>
      <c r="S30" s="152">
        <f t="shared" si="22"/>
        <v>5286343.176</v>
      </c>
      <c r="T30" s="132">
        <f t="shared" si="23"/>
        <v>0.73147389060085488</v>
      </c>
      <c r="U30" s="217">
        <f>S30-I30</f>
        <v>3513743.176</v>
      </c>
      <c r="V30" s="218">
        <f t="shared" si="16"/>
        <v>-3513743.176</v>
      </c>
      <c r="W30" s="134">
        <f t="shared" si="24"/>
        <v>-1.9822538508405732</v>
      </c>
      <c r="X30" s="165"/>
      <c r="Y30" s="166"/>
      <c r="Z30" s="151">
        <f>'[1]2021-22'!C325</f>
        <v>3542054.38</v>
      </c>
      <c r="AA30" s="160">
        <f>O30-Z30</f>
        <v>-3542054.38</v>
      </c>
      <c r="AB30" s="134">
        <f>IF(ISERR(AA30/Z30),"-",AA30/Z30)</f>
        <v>-1</v>
      </c>
      <c r="AC30" s="166"/>
      <c r="AD30" s="151">
        <v>2439975.67</v>
      </c>
      <c r="AE30" s="160">
        <f>S30-AD30</f>
        <v>2846367.5060000001</v>
      </c>
      <c r="AF30" s="134">
        <f>IF(ISERR(AE30/AD30),"-",AE30/AD30)</f>
        <v>1.1665556919262232</v>
      </c>
      <c r="AH30" s="151">
        <v>2239291.2000000002</v>
      </c>
      <c r="AI30" s="160">
        <f>S30-AH30</f>
        <v>3047051.9759999998</v>
      </c>
      <c r="AJ30" s="134">
        <f t="shared" si="25"/>
        <v>1.3607216319163848</v>
      </c>
    </row>
    <row r="31" spans="1:36" s="161" customFormat="1" ht="13.45" hidden="1" customHeight="1" outlineLevel="1" x14ac:dyDescent="0.45">
      <c r="A31" s="121" t="s">
        <v>77</v>
      </c>
      <c r="B31" s="121" t="s">
        <v>78</v>
      </c>
      <c r="E31" s="162"/>
      <c r="F31" s="163"/>
      <c r="G31" s="164"/>
      <c r="H31" s="151"/>
      <c r="I31" s="152"/>
      <c r="J31" s="153">
        <f t="shared" si="13"/>
        <v>0</v>
      </c>
      <c r="K31" s="142"/>
      <c r="L31" s="130"/>
      <c r="M31" s="216"/>
      <c r="N31" s="142">
        <f t="shared" si="18"/>
        <v>0</v>
      </c>
      <c r="O31" s="142"/>
      <c r="P31" s="142">
        <f t="shared" si="19"/>
        <v>0</v>
      </c>
      <c r="Q31" s="154">
        <v>3991.97</v>
      </c>
      <c r="R31" s="155">
        <f>P31-Q31</f>
        <v>-3991.97</v>
      </c>
      <c r="S31" s="152">
        <f t="shared" si="22"/>
        <v>0</v>
      </c>
      <c r="T31" s="132" t="str">
        <f t="shared" si="23"/>
        <v>-</v>
      </c>
      <c r="U31" s="217">
        <f>S31-I31</f>
        <v>0</v>
      </c>
      <c r="V31" s="218">
        <f t="shared" si="16"/>
        <v>0</v>
      </c>
      <c r="W31" s="134" t="str">
        <f t="shared" si="24"/>
        <v>-</v>
      </c>
      <c r="X31" s="165"/>
      <c r="Y31" s="166"/>
      <c r="Z31" s="151">
        <f>'[1]2021-22'!C379</f>
        <v>301.04000000000002</v>
      </c>
      <c r="AA31" s="160">
        <f>O31-Z31</f>
        <v>-301.04000000000002</v>
      </c>
      <c r="AB31" s="134">
        <f>IF(ISERR(AA31/Z31),"-",AA31/Z31)</f>
        <v>-1</v>
      </c>
      <c r="AC31" s="166"/>
      <c r="AD31" s="151">
        <v>0</v>
      </c>
      <c r="AE31" s="160">
        <f>S31-AD31</f>
        <v>0</v>
      </c>
      <c r="AF31" s="134" t="str">
        <f>IF(ISERR(AE31/AD31),"-",AE31/AD31)</f>
        <v>-</v>
      </c>
      <c r="AH31" s="151">
        <v>0</v>
      </c>
      <c r="AI31" s="160">
        <f>S31-AH31</f>
        <v>0</v>
      </c>
      <c r="AJ31" s="134" t="str">
        <f t="shared" si="25"/>
        <v>-</v>
      </c>
    </row>
    <row r="32" spans="1:36" s="161" customFormat="1" ht="13.45" hidden="1" customHeight="1" outlineLevel="1" x14ac:dyDescent="0.45">
      <c r="A32" s="121" t="s">
        <v>79</v>
      </c>
      <c r="B32" s="121" t="s">
        <v>80</v>
      </c>
      <c r="E32" s="162"/>
      <c r="F32" s="163"/>
      <c r="G32" s="164"/>
      <c r="H32" s="151"/>
      <c r="I32" s="152"/>
      <c r="J32" s="153">
        <f t="shared" si="13"/>
        <v>0</v>
      </c>
      <c r="K32" s="142"/>
      <c r="L32" s="130"/>
      <c r="M32" s="216"/>
      <c r="N32" s="142">
        <f t="shared" si="18"/>
        <v>0</v>
      </c>
      <c r="O32" s="142"/>
      <c r="P32" s="142">
        <f t="shared" si="19"/>
        <v>0</v>
      </c>
      <c r="Q32" s="154">
        <v>9021.4699999999993</v>
      </c>
      <c r="R32" s="155">
        <f>P32-Q32</f>
        <v>-9021.4699999999993</v>
      </c>
      <c r="S32" s="152">
        <f t="shared" si="22"/>
        <v>0</v>
      </c>
      <c r="T32" s="132" t="str">
        <f t="shared" si="23"/>
        <v>-</v>
      </c>
      <c r="U32" s="217">
        <f>S32-I32</f>
        <v>0</v>
      </c>
      <c r="V32" s="218">
        <f>P32-S32</f>
        <v>0</v>
      </c>
      <c r="W32" s="134" t="str">
        <f t="shared" si="24"/>
        <v>-</v>
      </c>
      <c r="X32" s="165"/>
      <c r="Y32" s="166"/>
      <c r="Z32" s="151">
        <f>'[1]2021-22'!C535</f>
        <v>28565.73</v>
      </c>
      <c r="AA32" s="160">
        <f>O32-Z32</f>
        <v>-28565.73</v>
      </c>
      <c r="AB32" s="134">
        <f>IF(ISERR(AA32/Z32),"-",AA32/Z32)</f>
        <v>-1</v>
      </c>
      <c r="AC32" s="166"/>
      <c r="AD32" s="151">
        <v>142.68</v>
      </c>
      <c r="AE32" s="160">
        <f>S32-AD32</f>
        <v>-142.68</v>
      </c>
      <c r="AF32" s="134">
        <f>IF(ISERR(AE32/AD32),"-",AE32/AD32)</f>
        <v>-1</v>
      </c>
      <c r="AH32" s="151">
        <v>123243.44</v>
      </c>
      <c r="AI32" s="160">
        <f>S32-AH32</f>
        <v>-123243.44</v>
      </c>
      <c r="AJ32" s="134">
        <f t="shared" si="25"/>
        <v>-1</v>
      </c>
    </row>
    <row r="33" spans="1:36" ht="13.45" hidden="1" customHeight="1" outlineLevel="1" x14ac:dyDescent="0.35">
      <c r="A33" s="66" t="s">
        <v>81</v>
      </c>
      <c r="B33" s="14" t="s">
        <v>82</v>
      </c>
      <c r="D33" s="122" t="s">
        <v>50</v>
      </c>
      <c r="E33" s="123"/>
      <c r="F33" s="168">
        <f>31+16</f>
        <v>47</v>
      </c>
      <c r="G33" s="125">
        <f>E33-F33</f>
        <v>-47</v>
      </c>
      <c r="H33" s="151">
        <f>1063100+3119000</f>
        <v>4182100</v>
      </c>
      <c r="I33" s="152">
        <v>3119000</v>
      </c>
      <c r="J33" s="153">
        <f t="shared" si="13"/>
        <v>-1063100</v>
      </c>
      <c r="K33" s="142">
        <v>4182100</v>
      </c>
      <c r="L33" s="130"/>
      <c r="M33" s="171">
        <v>777875</v>
      </c>
      <c r="N33" s="142">
        <f t="shared" si="18"/>
        <v>4959975</v>
      </c>
      <c r="O33" s="142">
        <v>-1063100</v>
      </c>
      <c r="P33" s="142">
        <f t="shared" si="19"/>
        <v>3896875</v>
      </c>
      <c r="Q33" s="172">
        <v>2526321.08</v>
      </c>
      <c r="R33" s="155">
        <f>'[1]Salary Projections'!H10-'[1]Operating Results'!Q33</f>
        <v>632906.94100000011</v>
      </c>
      <c r="S33" s="152">
        <f t="shared" si="22"/>
        <v>3159228.0210000002</v>
      </c>
      <c r="T33" s="132">
        <f t="shared" si="23"/>
        <v>0.79966405185287504</v>
      </c>
      <c r="U33" s="217">
        <f>S33-I33</f>
        <v>40228.021000000183</v>
      </c>
      <c r="V33" s="218">
        <f t="shared" si="16"/>
        <v>737646.97899999982</v>
      </c>
      <c r="W33" s="134">
        <f t="shared" si="24"/>
        <v>0.1892919272493985</v>
      </c>
      <c r="X33" s="224"/>
      <c r="Y33" s="225"/>
      <c r="Z33" s="175">
        <f>'[1]2021-22'!C613</f>
        <v>162911.54</v>
      </c>
      <c r="AA33" s="226">
        <f>O33-Z33</f>
        <v>-1226011.54</v>
      </c>
      <c r="AB33" s="227">
        <f>IF(ISERR(AA33/Z33),"-",AA33/Z33)</f>
        <v>-7.5256273435264314</v>
      </c>
      <c r="AC33" s="225"/>
      <c r="AD33" s="175">
        <v>737708.44</v>
      </c>
      <c r="AE33" s="226">
        <f>S33-AD33</f>
        <v>2421519.5810000002</v>
      </c>
      <c r="AF33" s="227">
        <f>IF(ISERR(AE33/AD33),"-",AE33/AD33)</f>
        <v>3.2824886495808565</v>
      </c>
      <c r="AH33" s="175">
        <v>800311.68</v>
      </c>
      <c r="AI33" s="226">
        <f>S33-AH33</f>
        <v>2358916.341</v>
      </c>
      <c r="AJ33" s="227">
        <f t="shared" si="25"/>
        <v>2.9474970813870915</v>
      </c>
    </row>
    <row r="34" spans="1:36" ht="13.45" hidden="1" customHeight="1" outlineLevel="1" x14ac:dyDescent="0.35">
      <c r="A34" s="66"/>
      <c r="D34" s="122" t="s">
        <v>51</v>
      </c>
      <c r="E34" s="123"/>
      <c r="F34" s="168">
        <f>F33</f>
        <v>47</v>
      </c>
      <c r="G34" s="125">
        <f>E34-F34</f>
        <v>-47</v>
      </c>
      <c r="H34" s="151"/>
      <c r="I34" s="152"/>
      <c r="J34" s="153"/>
      <c r="K34" s="142"/>
      <c r="L34" s="130"/>
      <c r="M34" s="171"/>
      <c r="N34" s="142">
        <f t="shared" si="18"/>
        <v>0</v>
      </c>
      <c r="O34" s="142"/>
      <c r="P34" s="142"/>
      <c r="Q34" s="172"/>
      <c r="R34" s="155"/>
      <c r="S34" s="152"/>
      <c r="T34" s="132"/>
      <c r="U34" s="217"/>
      <c r="V34" s="218"/>
      <c r="W34" s="134"/>
      <c r="X34" s="224"/>
      <c r="Y34" s="225"/>
      <c r="Z34" s="175"/>
      <c r="AA34" s="226"/>
      <c r="AB34" s="227"/>
      <c r="AC34" s="225"/>
      <c r="AD34" s="175"/>
      <c r="AE34" s="226"/>
      <c r="AF34" s="227"/>
      <c r="AH34" s="175"/>
      <c r="AI34" s="226"/>
      <c r="AJ34" s="227"/>
    </row>
    <row r="35" spans="1:36" ht="13.45" hidden="1" customHeight="1" outlineLevel="1" x14ac:dyDescent="0.35">
      <c r="A35" s="66" t="s">
        <v>83</v>
      </c>
      <c r="B35" s="14" t="s">
        <v>84</v>
      </c>
      <c r="D35" s="122"/>
      <c r="E35" s="167"/>
      <c r="F35" s="168"/>
      <c r="G35" s="228"/>
      <c r="H35" s="151"/>
      <c r="I35" s="152"/>
      <c r="J35" s="153">
        <f t="shared" si="13"/>
        <v>0</v>
      </c>
      <c r="K35" s="171"/>
      <c r="L35" s="130"/>
      <c r="M35" s="171"/>
      <c r="N35" s="142">
        <f t="shared" si="18"/>
        <v>0</v>
      </c>
      <c r="O35" s="142"/>
      <c r="P35" s="142">
        <f t="shared" si="19"/>
        <v>0</v>
      </c>
      <c r="Q35" s="172">
        <v>4138.6499999999996</v>
      </c>
      <c r="R35" s="155">
        <f>'[1]Salary Projections'!H17-'[1]Operating Results'!Q35</f>
        <v>5118.3469999999998</v>
      </c>
      <c r="S35" s="152">
        <f t="shared" si="22"/>
        <v>9256.9969999999994</v>
      </c>
      <c r="T35" s="132">
        <f t="shared" si="23"/>
        <v>0.44708343321273625</v>
      </c>
      <c r="U35" s="217">
        <f>S35-I35</f>
        <v>9256.9969999999994</v>
      </c>
      <c r="V35" s="218">
        <f t="shared" si="16"/>
        <v>-9256.9969999999994</v>
      </c>
      <c r="W35" s="134" t="str">
        <f>IF(ISERR(V35/P35),"-",V35/P35)</f>
        <v>-</v>
      </c>
      <c r="X35" s="224"/>
      <c r="Y35" s="225"/>
      <c r="Z35" s="175">
        <f>'[1]2021-22'!C614</f>
        <v>100350.68</v>
      </c>
      <c r="AA35" s="226">
        <f>O35-Z35</f>
        <v>-100350.68</v>
      </c>
      <c r="AB35" s="227">
        <f>IF(ISERR(AA35/Z35),"-",AA35/Z35)</f>
        <v>-1</v>
      </c>
      <c r="AC35" s="225"/>
      <c r="AD35" s="175">
        <v>191894.57</v>
      </c>
      <c r="AE35" s="226">
        <f>S35-AD35</f>
        <v>-182637.573</v>
      </c>
      <c r="AF35" s="227">
        <f>IF(ISERR(AE35/AD35),"-",AE35/AD35)</f>
        <v>-0.95175998466241118</v>
      </c>
      <c r="AH35" s="175">
        <v>113622.72</v>
      </c>
      <c r="AI35" s="226">
        <f>S35-AH35</f>
        <v>-104365.723</v>
      </c>
      <c r="AJ35" s="227">
        <f t="shared" ref="AJ35:AJ36" si="26">IF(ISERR(AI35/AH35),"-",AI35/AH35)</f>
        <v>-0.91852864462318806</v>
      </c>
    </row>
    <row r="36" spans="1:36" ht="13.45" customHeight="1" collapsed="1" x14ac:dyDescent="0.4">
      <c r="A36" s="1" t="s">
        <v>85</v>
      </c>
      <c r="B36" s="13"/>
      <c r="E36" s="229">
        <f>E28+E34</f>
        <v>0</v>
      </c>
      <c r="F36" s="178">
        <f>F28+F34</f>
        <v>662.28</v>
      </c>
      <c r="G36" s="179">
        <f>G28+G34</f>
        <v>-662.28</v>
      </c>
      <c r="H36" s="230">
        <f t="shared" ref="H36:S36" si="27">SUM(H26:H35)</f>
        <v>38383200</v>
      </c>
      <c r="I36" s="230">
        <f t="shared" si="27"/>
        <v>38583200</v>
      </c>
      <c r="J36" s="231">
        <f t="shared" si="27"/>
        <v>200000</v>
      </c>
      <c r="K36" s="185">
        <f t="shared" si="27"/>
        <v>38383200</v>
      </c>
      <c r="L36" s="183">
        <f>SUM(L26:L35)</f>
        <v>0</v>
      </c>
      <c r="M36" s="185">
        <f t="shared" si="27"/>
        <v>1749468.85</v>
      </c>
      <c r="N36" s="185">
        <f t="shared" si="27"/>
        <v>40132668.850000001</v>
      </c>
      <c r="O36" s="185">
        <f t="shared" si="27"/>
        <v>200000</v>
      </c>
      <c r="P36" s="185">
        <f t="shared" si="27"/>
        <v>40332668.850000001</v>
      </c>
      <c r="Q36" s="187">
        <f t="shared" si="27"/>
        <v>34471463.469999991</v>
      </c>
      <c r="R36" s="188">
        <f t="shared" si="27"/>
        <v>10407734.529999997</v>
      </c>
      <c r="S36" s="188">
        <f t="shared" si="27"/>
        <v>44879197.999999993</v>
      </c>
      <c r="T36" s="189">
        <f>IF(ISERR(Q36/S36),"-",Q36/S36)</f>
        <v>0.76809446260603853</v>
      </c>
      <c r="U36" s="232">
        <f>SUM(U26:U35)</f>
        <v>6295997.9999999991</v>
      </c>
      <c r="V36" s="190">
        <f>SUM(V26:V35)</f>
        <v>-4546529.1499999976</v>
      </c>
      <c r="W36" s="191">
        <f>IF(ISERR(V36/P36),"-",V36/P36)</f>
        <v>-0.11272572035609287</v>
      </c>
      <c r="X36" s="192"/>
      <c r="Y36" s="174"/>
      <c r="Z36" s="193">
        <f>SUM(Z26:Z35)</f>
        <v>31455208.969999999</v>
      </c>
      <c r="AA36" s="233">
        <f>SUM(AA26:AA35)</f>
        <v>-31255208.969999999</v>
      </c>
      <c r="AB36" s="191">
        <f>IF(ISERR(AA36/Z36),"-",AA36/Z36)</f>
        <v>-0.99364175262066301</v>
      </c>
      <c r="AC36" s="174"/>
      <c r="AD36" s="193">
        <f>SUM(AD26:AD35)</f>
        <v>21344604.059999999</v>
      </c>
      <c r="AE36" s="233">
        <f>SUM(AE26:AE35)</f>
        <v>23534593.940000001</v>
      </c>
      <c r="AF36" s="191">
        <f>IF(ISERR(AE36/AD36),"-",AE36/AD36)</f>
        <v>1.1026015696446703</v>
      </c>
      <c r="AH36" s="193">
        <v>20111720.959999997</v>
      </c>
      <c r="AI36" s="233">
        <f>SUM(AI26:AI35)</f>
        <v>25068743.219999995</v>
      </c>
      <c r="AJ36" s="191">
        <f t="shared" si="26"/>
        <v>1.2464742957531565</v>
      </c>
    </row>
    <row r="37" spans="1:36" ht="13.45" customHeight="1" x14ac:dyDescent="0.4">
      <c r="A37" s="13"/>
      <c r="B37" s="13"/>
      <c r="E37" s="195"/>
      <c r="F37" s="196"/>
      <c r="G37" s="197"/>
      <c r="H37" s="195"/>
      <c r="K37" s="141"/>
      <c r="L37" s="130"/>
      <c r="M37" s="141"/>
      <c r="N37" s="141"/>
      <c r="O37" s="141"/>
      <c r="P37" s="141"/>
      <c r="Q37" s="113"/>
      <c r="U37" s="117"/>
      <c r="V37" s="212"/>
      <c r="W37" s="213"/>
      <c r="X37" s="173"/>
      <c r="Y37" s="174"/>
      <c r="Z37" s="113"/>
      <c r="AA37" s="118"/>
      <c r="AB37" s="119"/>
      <c r="AC37" s="174"/>
      <c r="AD37" s="113"/>
      <c r="AE37" s="118"/>
      <c r="AF37" s="119"/>
      <c r="AH37" s="113"/>
      <c r="AI37" s="118"/>
      <c r="AJ37" s="119"/>
    </row>
    <row r="38" spans="1:36" ht="13.45" customHeight="1" x14ac:dyDescent="0.4">
      <c r="A38" s="1"/>
      <c r="B38" s="13"/>
      <c r="E38" s="195"/>
      <c r="F38" s="196"/>
      <c r="G38" s="197"/>
      <c r="H38" s="195"/>
      <c r="I38" s="214"/>
      <c r="J38" s="214"/>
      <c r="K38" s="171"/>
      <c r="L38" s="130"/>
      <c r="M38" s="171"/>
      <c r="N38" s="171"/>
      <c r="O38" s="171"/>
      <c r="P38" s="171"/>
      <c r="Q38" s="172"/>
      <c r="R38" s="214"/>
      <c r="S38" s="214"/>
      <c r="T38" s="132"/>
      <c r="U38" s="234"/>
      <c r="V38" s="235"/>
      <c r="W38" s="203"/>
      <c r="X38" s="204"/>
      <c r="Y38" s="205"/>
      <c r="Z38" s="113"/>
      <c r="AA38" s="118"/>
      <c r="AB38" s="119"/>
      <c r="AC38" s="205"/>
      <c r="AD38" s="113"/>
      <c r="AE38" s="118"/>
      <c r="AF38" s="119"/>
      <c r="AH38" s="113"/>
      <c r="AI38" s="118"/>
      <c r="AJ38" s="119"/>
    </row>
    <row r="39" spans="1:36" ht="13.45" hidden="1" customHeight="1" outlineLevel="1" x14ac:dyDescent="0.4">
      <c r="A39" s="120" t="s">
        <v>86</v>
      </c>
      <c r="B39" s="13"/>
      <c r="E39" s="195"/>
      <c r="F39" s="196"/>
      <c r="G39" s="197"/>
      <c r="H39" s="195"/>
      <c r="I39" s="214"/>
      <c r="J39" s="214"/>
      <c r="K39" s="171"/>
      <c r="L39" s="130"/>
      <c r="M39" s="171"/>
      <c r="N39" s="171"/>
      <c r="O39" s="171"/>
      <c r="P39" s="171"/>
      <c r="Q39" s="172"/>
      <c r="R39" s="214"/>
      <c r="S39" s="214"/>
      <c r="T39" s="214"/>
      <c r="U39" s="236"/>
      <c r="V39" s="235"/>
      <c r="W39" s="203"/>
      <c r="X39" s="204"/>
      <c r="Y39" s="205"/>
      <c r="Z39" s="113"/>
      <c r="AA39" s="118"/>
      <c r="AB39" s="119"/>
      <c r="AC39" s="205"/>
      <c r="AD39" s="113"/>
      <c r="AE39" s="118"/>
      <c r="AF39" s="119"/>
      <c r="AH39" s="113"/>
      <c r="AI39" s="118"/>
      <c r="AJ39" s="119"/>
    </row>
    <row r="40" spans="1:36" ht="13.45" hidden="1" customHeight="1" outlineLevel="1" x14ac:dyDescent="0.35">
      <c r="A40" s="66" t="s">
        <v>87</v>
      </c>
      <c r="B40" s="66" t="s">
        <v>88</v>
      </c>
      <c r="D40" s="122" t="s">
        <v>50</v>
      </c>
      <c r="E40" s="123"/>
      <c r="F40" s="196">
        <v>90.73</v>
      </c>
      <c r="G40" s="125">
        <f t="shared" ref="G40:G41" si="28">E40-F40</f>
        <v>-90.73</v>
      </c>
      <c r="H40" s="237">
        <v>4547300</v>
      </c>
      <c r="I40" s="152">
        <v>4547300</v>
      </c>
      <c r="J40" s="153">
        <f t="shared" ref="J40:J54" si="29">I40-H40</f>
        <v>0</v>
      </c>
      <c r="K40" s="129">
        <v>4547300</v>
      </c>
      <c r="L40" s="130">
        <v>-63124</v>
      </c>
      <c r="M40" s="171"/>
      <c r="N40" s="129">
        <f>K40+M40+L40</f>
        <v>4484176</v>
      </c>
      <c r="O40" s="129"/>
      <c r="P40" s="129">
        <f>N40+O40</f>
        <v>4484176</v>
      </c>
      <c r="Q40" s="172">
        <v>3789115.78</v>
      </c>
      <c r="R40" s="155">
        <f>'[1]Salary Projections'!K10-'[1]Operating Results'!Q40</f>
        <v>773279.02100000018</v>
      </c>
      <c r="S40" s="155">
        <f>SUM(Q40:R40)</f>
        <v>4562394.801</v>
      </c>
      <c r="T40" s="156">
        <f>IF(ISERR(Q40/S40),"-",Q40/S40)</f>
        <v>0.83051027920018883</v>
      </c>
      <c r="U40" s="217">
        <f>S40-I40</f>
        <v>15094.800999999978</v>
      </c>
      <c r="V40" s="144">
        <f>P40-S40</f>
        <v>-78218.800999999978</v>
      </c>
      <c r="W40" s="134">
        <f>IF(ISERR(V40/P40),"-",V40/P40)</f>
        <v>-1.7443294152593471E-2</v>
      </c>
      <c r="X40" s="173"/>
      <c r="Y40" s="174"/>
      <c r="Z40" s="137">
        <f>'[1]2021-22'!C151</f>
        <v>5089486.4000000004</v>
      </c>
      <c r="AA40" s="160">
        <f>O40-Z40</f>
        <v>-5089486.4000000004</v>
      </c>
      <c r="AB40" s="134">
        <f>IF(ISERR(AA40/Z40),"-",AA40/Z40)</f>
        <v>-1</v>
      </c>
      <c r="AC40" s="174"/>
      <c r="AD40" s="137">
        <v>3742074.72</v>
      </c>
      <c r="AE40" s="160">
        <f>S40-AD40</f>
        <v>820320.08099999977</v>
      </c>
      <c r="AF40" s="134">
        <f>IF(ISERR(AE40/AD40),"-",AE40/AD40)</f>
        <v>0.21921531299620861</v>
      </c>
      <c r="AH40" s="137">
        <v>3754698.78</v>
      </c>
      <c r="AI40" s="160">
        <f>S40-AH40</f>
        <v>807696.02100000018</v>
      </c>
      <c r="AJ40" s="134">
        <f>IF(ISERR(AI40/AH40),"-",AI40/AH40)</f>
        <v>0.21511606345156675</v>
      </c>
    </row>
    <row r="41" spans="1:36" ht="13.45" hidden="1" customHeight="1" outlineLevel="1" x14ac:dyDescent="0.35">
      <c r="A41" s="66"/>
      <c r="B41" s="66"/>
      <c r="D41" s="122" t="s">
        <v>51</v>
      </c>
      <c r="E41" s="123"/>
      <c r="F41" s="196">
        <f>F40</f>
        <v>90.73</v>
      </c>
      <c r="G41" s="125">
        <f t="shared" si="28"/>
        <v>-90.73</v>
      </c>
      <c r="H41" s="237"/>
      <c r="I41" s="152"/>
      <c r="J41" s="153"/>
      <c r="K41" s="129"/>
      <c r="L41" s="130"/>
      <c r="M41" s="171"/>
      <c r="N41" s="129"/>
      <c r="O41" s="129"/>
      <c r="P41" s="238"/>
      <c r="Q41" s="172"/>
      <c r="R41" s="155"/>
      <c r="S41" s="155"/>
      <c r="T41" s="156"/>
      <c r="U41" s="217"/>
      <c r="V41" s="144"/>
      <c r="W41" s="134"/>
      <c r="X41" s="173"/>
      <c r="Y41" s="174"/>
      <c r="Z41" s="175"/>
      <c r="AA41" s="160"/>
      <c r="AB41" s="134"/>
      <c r="AC41" s="174"/>
      <c r="AD41" s="175"/>
      <c r="AE41" s="160"/>
      <c r="AF41" s="134"/>
      <c r="AH41" s="175"/>
      <c r="AI41" s="160"/>
      <c r="AJ41" s="134"/>
    </row>
    <row r="42" spans="1:36" ht="13.45" hidden="1" customHeight="1" outlineLevel="1" x14ac:dyDescent="0.35">
      <c r="A42" s="66" t="s">
        <v>89</v>
      </c>
      <c r="B42" s="66" t="s">
        <v>90</v>
      </c>
      <c r="D42" s="122"/>
      <c r="E42" s="195"/>
      <c r="F42" s="196"/>
      <c r="G42" s="228"/>
      <c r="H42" s="151"/>
      <c r="I42" s="152"/>
      <c r="J42" s="153">
        <f t="shared" si="29"/>
        <v>0</v>
      </c>
      <c r="K42" s="239"/>
      <c r="L42" s="130"/>
      <c r="M42" s="171"/>
      <c r="N42" s="239">
        <f>K42+M42+L42</f>
        <v>0</v>
      </c>
      <c r="O42" s="239"/>
      <c r="P42" s="240">
        <f t="shared" ref="P42:P54" si="30">N42+O42</f>
        <v>0</v>
      </c>
      <c r="Q42" s="172">
        <v>75612.88</v>
      </c>
      <c r="R42" s="155">
        <f>'[1]Salary Projections'!K17-'[1]Operating Results'!Q42</f>
        <v>41377.20199999999</v>
      </c>
      <c r="S42" s="155">
        <f>SUM(Q42:R42)</f>
        <v>116990.08199999999</v>
      </c>
      <c r="T42" s="156">
        <f>IF(ISERR(Q42/S42),"-",Q42/S42)</f>
        <v>0.64631871956462095</v>
      </c>
      <c r="U42" s="217">
        <f>S42-I42</f>
        <v>116990.08199999999</v>
      </c>
      <c r="V42" s="157">
        <f t="shared" ref="V42:V54" si="31">P42-S42</f>
        <v>-116990.08199999999</v>
      </c>
      <c r="W42" s="134" t="str">
        <f t="shared" ref="W42:W45" si="32">IF(ISERR(V42/P42),"-",V42/P42)</f>
        <v>-</v>
      </c>
      <c r="X42" s="173"/>
      <c r="Y42" s="174"/>
      <c r="Z42" s="175">
        <f>'[1]2021-22'!C152</f>
        <v>120550.47</v>
      </c>
      <c r="AA42" s="160">
        <f>O42-Z42</f>
        <v>-120550.47</v>
      </c>
      <c r="AB42" s="134">
        <f>IF(ISERR(AA42/Z42),"-",AA42/Z42)</f>
        <v>-1</v>
      </c>
      <c r="AC42" s="174"/>
      <c r="AD42" s="175">
        <v>123056.78</v>
      </c>
      <c r="AE42" s="160">
        <f>S42-AD42</f>
        <v>-6066.698000000004</v>
      </c>
      <c r="AF42" s="134">
        <f>IF(ISERR(AE42/AD42),"-",AE42/AD42)</f>
        <v>-4.9299989809582244E-2</v>
      </c>
      <c r="AH42" s="175">
        <v>104983.08</v>
      </c>
      <c r="AI42" s="160">
        <f>S42-AH42</f>
        <v>12007.001999999993</v>
      </c>
      <c r="AJ42" s="134">
        <f>IF(ISERR(AI42/AH42),"-",AI42/AH42)</f>
        <v>0.11437083004232676</v>
      </c>
    </row>
    <row r="43" spans="1:36" s="161" customFormat="1" ht="13.45" hidden="1" customHeight="1" outlineLevel="1" x14ac:dyDescent="0.35">
      <c r="A43" s="121" t="s">
        <v>91</v>
      </c>
      <c r="B43" s="121" t="s">
        <v>92</v>
      </c>
      <c r="E43" s="162"/>
      <c r="F43" s="163"/>
      <c r="G43" s="164"/>
      <c r="H43" s="237">
        <v>238400</v>
      </c>
      <c r="I43" s="152">
        <v>238400</v>
      </c>
      <c r="J43" s="153">
        <f t="shared" si="29"/>
        <v>0</v>
      </c>
      <c r="K43" s="239">
        <v>238400</v>
      </c>
      <c r="L43" s="130"/>
      <c r="M43" s="241"/>
      <c r="N43" s="239">
        <f t="shared" ref="N43:N54" si="33">K43+M43+L43</f>
        <v>238400</v>
      </c>
      <c r="O43" s="239"/>
      <c r="P43" s="240">
        <f t="shared" si="30"/>
        <v>238400</v>
      </c>
      <c r="Q43" s="154">
        <v>406660.71</v>
      </c>
      <c r="R43" s="155">
        <f>'[1]Salary Projections'!K24-'[1]Operating Results'!Q43</f>
        <v>86435.632000000041</v>
      </c>
      <c r="S43" s="155">
        <f>SUM(Q43:R43)</f>
        <v>493096.34200000006</v>
      </c>
      <c r="T43" s="156">
        <f>IF(ISERR(Q43/S43),"-",Q43/S43)</f>
        <v>0.82470842989948601</v>
      </c>
      <c r="U43" s="217">
        <f>S43-I43</f>
        <v>254696.34200000006</v>
      </c>
      <c r="V43" s="157">
        <f t="shared" si="31"/>
        <v>-254696.34200000006</v>
      </c>
      <c r="W43" s="134">
        <f t="shared" si="32"/>
        <v>-1.0683571392617452</v>
      </c>
      <c r="X43" s="165"/>
      <c r="Y43" s="166"/>
      <c r="Z43" s="175">
        <f>'[1]2021-22'!C153</f>
        <v>264490.12</v>
      </c>
      <c r="AA43" s="160">
        <f>O43-Z43</f>
        <v>-264490.12</v>
      </c>
      <c r="AB43" s="134">
        <f>IF(ISERR(AA43/Z43),"-",AA43/Z43)</f>
        <v>-1</v>
      </c>
      <c r="AC43" s="166"/>
      <c r="AD43" s="175">
        <v>302370.84999999998</v>
      </c>
      <c r="AE43" s="160">
        <f>S43-AD43</f>
        <v>190725.49200000009</v>
      </c>
      <c r="AF43" s="134">
        <f>IF(ISERR(AE43/AD43),"-",AE43/AD43)</f>
        <v>0.63076679514576262</v>
      </c>
      <c r="AH43" s="175">
        <v>262577.91999999998</v>
      </c>
      <c r="AI43" s="160">
        <f>S43-AH43</f>
        <v>230518.42200000008</v>
      </c>
      <c r="AJ43" s="134">
        <f>IF(ISERR(AI43/AH43),"-",AI43/AH43)</f>
        <v>0.8779048215478289</v>
      </c>
    </row>
    <row r="44" spans="1:36" s="161" customFormat="1" ht="13.45" hidden="1" customHeight="1" outlineLevel="1" x14ac:dyDescent="0.35">
      <c r="A44" s="121" t="s">
        <v>93</v>
      </c>
      <c r="B44" s="121" t="s">
        <v>94</v>
      </c>
      <c r="E44" s="162"/>
      <c r="F44" s="163"/>
      <c r="G44" s="164"/>
      <c r="H44" s="151"/>
      <c r="I44" s="152">
        <v>530020</v>
      </c>
      <c r="J44" s="153">
        <f t="shared" si="29"/>
        <v>530020</v>
      </c>
      <c r="K44" s="239"/>
      <c r="L44" s="130"/>
      <c r="M44" s="241"/>
      <c r="N44" s="239">
        <f t="shared" si="33"/>
        <v>0</v>
      </c>
      <c r="O44" s="239">
        <v>530020</v>
      </c>
      <c r="P44" s="240">
        <f t="shared" si="30"/>
        <v>530020</v>
      </c>
      <c r="Q44" s="154">
        <v>557679.98</v>
      </c>
      <c r="R44" s="155">
        <f>P44-Q44</f>
        <v>-27659.979999999981</v>
      </c>
      <c r="S44" s="155">
        <f>SUM(Q44:R44)</f>
        <v>530020</v>
      </c>
      <c r="T44" s="156">
        <f>IF(ISERR(Q44/S44),"-",Q44/S44)</f>
        <v>1.0521866722010489</v>
      </c>
      <c r="U44" s="217">
        <f>S44-I44</f>
        <v>0</v>
      </c>
      <c r="V44" s="157">
        <f t="shared" si="31"/>
        <v>0</v>
      </c>
      <c r="W44" s="134">
        <f t="shared" si="32"/>
        <v>0</v>
      </c>
      <c r="X44" s="165"/>
      <c r="Y44" s="166"/>
      <c r="Z44" s="151">
        <f>SUM('[1]2021-22'!C154:C186)</f>
        <v>507091.2199999998</v>
      </c>
      <c r="AA44" s="160">
        <f>O44-Z44</f>
        <v>22928.780000000203</v>
      </c>
      <c r="AB44" s="134">
        <f>IF(ISERR(AA44/Z44),"-",AA44/Z44)</f>
        <v>4.5216282782415781E-2</v>
      </c>
      <c r="AC44" s="166"/>
      <c r="AD44" s="151">
        <v>540515.35000000009</v>
      </c>
      <c r="AE44" s="160">
        <f>S44-AD44</f>
        <v>-10495.350000000093</v>
      </c>
      <c r="AF44" s="134">
        <f>IF(ISERR(AE44/AD44),"-",AE44/AD44)</f>
        <v>-1.9417302394835023E-2</v>
      </c>
      <c r="AH44" s="151">
        <v>509366.4</v>
      </c>
      <c r="AI44" s="160">
        <f>S44-AH44</f>
        <v>20653.599999999977</v>
      </c>
      <c r="AJ44" s="134">
        <f t="shared" ref="AJ44:AJ45" si="34">IF(ISERR(AI44/AH44),"-",AI44/AH44)</f>
        <v>4.0547629368564507E-2</v>
      </c>
    </row>
    <row r="45" spans="1:36" ht="13.45" hidden="1" customHeight="1" outlineLevel="1" x14ac:dyDescent="0.35">
      <c r="A45" s="66" t="s">
        <v>95</v>
      </c>
      <c r="B45" s="14" t="s">
        <v>96</v>
      </c>
      <c r="D45" s="122" t="s">
        <v>50</v>
      </c>
      <c r="E45" s="123"/>
      <c r="F45" s="196">
        <f>14.5+5+6+1.7+13.59</f>
        <v>40.79</v>
      </c>
      <c r="G45" s="125">
        <f t="shared" ref="G45:G46" si="35">E45-F45</f>
        <v>-40.79</v>
      </c>
      <c r="H45" s="242">
        <v>5900700</v>
      </c>
      <c r="I45" s="127">
        <v>5900700</v>
      </c>
      <c r="J45" s="153">
        <f t="shared" si="29"/>
        <v>0</v>
      </c>
      <c r="K45" s="239">
        <v>5900700</v>
      </c>
      <c r="L45" s="130">
        <f>-173113+227500+146600</f>
        <v>200987</v>
      </c>
      <c r="M45" s="243">
        <v>5000</v>
      </c>
      <c r="N45" s="239">
        <f t="shared" si="33"/>
        <v>6106687</v>
      </c>
      <c r="O45" s="239"/>
      <c r="P45" s="240">
        <f t="shared" si="30"/>
        <v>6106687</v>
      </c>
      <c r="Q45" s="244">
        <v>3265729.74</v>
      </c>
      <c r="R45" s="155">
        <f>'[1]Salary Projections'!N10-'[1]Operating Results'!Q45</f>
        <v>702438.11400000006</v>
      </c>
      <c r="S45" s="155">
        <f t="shared" ref="S45:S54" si="36">SUM(Q45:R45)</f>
        <v>3968167.8540000003</v>
      </c>
      <c r="T45" s="156">
        <f t="shared" ref="T45:T55" si="37">IF(ISERR(Q45/S45),"-",Q45/S45)</f>
        <v>0.82298175383585981</v>
      </c>
      <c r="U45" s="217">
        <f>S45-I45</f>
        <v>-1932532.1459999997</v>
      </c>
      <c r="V45" s="157">
        <f t="shared" si="31"/>
        <v>2138519.1459999997</v>
      </c>
      <c r="W45" s="227">
        <f t="shared" si="32"/>
        <v>0.35019301726124158</v>
      </c>
      <c r="X45" s="173"/>
      <c r="Y45" s="174"/>
      <c r="Z45" s="151">
        <f>'[1]2021-22'!C217</f>
        <v>2870234.16</v>
      </c>
      <c r="AA45" s="160">
        <f>O45-Z45</f>
        <v>-2870234.16</v>
      </c>
      <c r="AB45" s="134">
        <f>IF(ISERR(AA45/Z45),"-",AA45/Z45)</f>
        <v>-1</v>
      </c>
      <c r="AC45" s="174"/>
      <c r="AD45" s="151">
        <v>2221047.29</v>
      </c>
      <c r="AE45" s="160">
        <f>S45-AD45</f>
        <v>1747120.5640000002</v>
      </c>
      <c r="AF45" s="134">
        <f>IF(ISERR(AE45/AD45),"-",AE45/AD45)</f>
        <v>0.78662015521515538</v>
      </c>
      <c r="AH45" s="151">
        <v>2266273.25</v>
      </c>
      <c r="AI45" s="160">
        <f>S45-AH45</f>
        <v>1701894.6040000003</v>
      </c>
      <c r="AJ45" s="134">
        <f t="shared" si="34"/>
        <v>0.75096619703736089</v>
      </c>
    </row>
    <row r="46" spans="1:36" ht="13.45" hidden="1" customHeight="1" outlineLevel="1" x14ac:dyDescent="0.35">
      <c r="A46" s="66"/>
      <c r="D46" s="122" t="s">
        <v>51</v>
      </c>
      <c r="E46" s="123"/>
      <c r="F46" s="196">
        <f>F45</f>
        <v>40.79</v>
      </c>
      <c r="G46" s="125">
        <f t="shared" si="35"/>
        <v>-40.79</v>
      </c>
      <c r="H46" s="242"/>
      <c r="I46" s="127"/>
      <c r="J46" s="153"/>
      <c r="K46" s="239"/>
      <c r="L46" s="130"/>
      <c r="M46" s="245"/>
      <c r="N46" s="239">
        <f t="shared" si="33"/>
        <v>0</v>
      </c>
      <c r="O46" s="239"/>
      <c r="P46" s="240"/>
      <c r="Q46" s="244"/>
      <c r="R46" s="155"/>
      <c r="S46" s="155"/>
      <c r="T46" s="156"/>
      <c r="U46" s="217"/>
      <c r="V46" s="157"/>
      <c r="W46" s="227"/>
      <c r="X46" s="173"/>
      <c r="Y46" s="174"/>
      <c r="Z46" s="151"/>
      <c r="AA46" s="160"/>
      <c r="AB46" s="134"/>
      <c r="AC46" s="174"/>
      <c r="AD46" s="151"/>
      <c r="AE46" s="160"/>
      <c r="AF46" s="134"/>
      <c r="AH46" s="151"/>
      <c r="AI46" s="160"/>
      <c r="AJ46" s="134"/>
    </row>
    <row r="47" spans="1:36" ht="13.45" hidden="1" customHeight="1" outlineLevel="1" x14ac:dyDescent="0.35">
      <c r="A47" s="66" t="s">
        <v>97</v>
      </c>
      <c r="B47" s="66" t="s">
        <v>98</v>
      </c>
      <c r="E47" s="195"/>
      <c r="F47" s="196"/>
      <c r="G47" s="228"/>
      <c r="H47" s="242">
        <v>215600</v>
      </c>
      <c r="I47" s="152">
        <v>215600</v>
      </c>
      <c r="J47" s="153">
        <f t="shared" si="29"/>
        <v>0</v>
      </c>
      <c r="K47" s="239">
        <v>215600</v>
      </c>
      <c r="L47" s="130"/>
      <c r="M47" s="243"/>
      <c r="N47" s="239">
        <f t="shared" si="33"/>
        <v>215600</v>
      </c>
      <c r="O47" s="239"/>
      <c r="P47" s="240">
        <f t="shared" si="30"/>
        <v>215600</v>
      </c>
      <c r="Q47" s="172">
        <v>105041.07</v>
      </c>
      <c r="R47" s="155">
        <f>P47-Q47</f>
        <v>110558.93</v>
      </c>
      <c r="S47" s="155">
        <f t="shared" si="36"/>
        <v>215600</v>
      </c>
      <c r="T47" s="156">
        <f t="shared" si="37"/>
        <v>0.487203478664193</v>
      </c>
      <c r="U47" s="217">
        <f>S47-I47</f>
        <v>0</v>
      </c>
      <c r="V47" s="157">
        <f t="shared" si="31"/>
        <v>0</v>
      </c>
      <c r="W47" s="227">
        <f>IF(ISERR(V47/P47),"-",V47/P47)</f>
        <v>0</v>
      </c>
      <c r="X47" s="173"/>
      <c r="Y47" s="174"/>
      <c r="Z47" s="145">
        <f>SUM('[1]2021-22'!C218:C232)</f>
        <v>31704.97</v>
      </c>
      <c r="AA47" s="160">
        <f>O47-Z47</f>
        <v>-31704.97</v>
      </c>
      <c r="AB47" s="134">
        <f>IF(ISERR(AA47/Z47),"-",AA47/Z47)</f>
        <v>-1</v>
      </c>
      <c r="AC47" s="174"/>
      <c r="AD47" s="145">
        <v>41672.35</v>
      </c>
      <c r="AE47" s="160">
        <f>S47-AD47</f>
        <v>173927.65</v>
      </c>
      <c r="AF47" s="134">
        <f>IF(ISERR(AE47/AD47),"-",AE47/AD47)</f>
        <v>4.1736943080963753</v>
      </c>
      <c r="AH47" s="145">
        <v>43425.33</v>
      </c>
      <c r="AI47" s="160">
        <f>S47-AH47</f>
        <v>172174.66999999998</v>
      </c>
      <c r="AJ47" s="134">
        <f t="shared" ref="AJ47" si="38">IF(ISERR(AI47/AH47),"-",AI47/AH47)</f>
        <v>3.9648442510396578</v>
      </c>
    </row>
    <row r="48" spans="1:36" ht="13.45" hidden="1" customHeight="1" outlineLevel="1" x14ac:dyDescent="0.35">
      <c r="A48" s="246" t="s">
        <v>99</v>
      </c>
      <c r="B48" s="246" t="s">
        <v>100</v>
      </c>
      <c r="C48" s="146"/>
      <c r="D48" s="122" t="s">
        <v>50</v>
      </c>
      <c r="E48" s="123"/>
      <c r="F48" s="247">
        <v>26.62</v>
      </c>
      <c r="G48" s="125">
        <f t="shared" ref="G48:G49" si="39">E48-F48</f>
        <v>-26.62</v>
      </c>
      <c r="H48" s="242">
        <f>887800+307739</f>
        <v>1195539</v>
      </c>
      <c r="I48" s="152">
        <v>1195539</v>
      </c>
      <c r="J48" s="153">
        <f t="shared" si="29"/>
        <v>0</v>
      </c>
      <c r="K48" s="239">
        <v>1195539</v>
      </c>
      <c r="L48" s="130">
        <v>-717804</v>
      </c>
      <c r="M48" s="248"/>
      <c r="N48" s="239">
        <f t="shared" si="33"/>
        <v>477735</v>
      </c>
      <c r="O48" s="239"/>
      <c r="P48" s="240">
        <f t="shared" si="30"/>
        <v>477735</v>
      </c>
      <c r="Q48" s="249">
        <v>570778.13</v>
      </c>
      <c r="R48" s="155">
        <f>'[1]Salary Projections'!Q10-'[1]Operating Results'!Q48</f>
        <v>81039.212999999989</v>
      </c>
      <c r="S48" s="155">
        <f t="shared" si="36"/>
        <v>651817.34299999999</v>
      </c>
      <c r="T48" s="156">
        <f t="shared" si="37"/>
        <v>0.87567189816242741</v>
      </c>
      <c r="U48" s="217">
        <f>S48-I48</f>
        <v>-543721.65700000001</v>
      </c>
      <c r="V48" s="157">
        <f t="shared" si="31"/>
        <v>-174082.34299999999</v>
      </c>
      <c r="W48" s="134">
        <f>IF(ISERR(V48/P48),"-",V48/P48)</f>
        <v>-0.36439101803300994</v>
      </c>
      <c r="X48" s="250"/>
      <c r="Y48" s="251"/>
      <c r="Z48" s="151">
        <f>'[1]2021-22'!C237</f>
        <v>934549.97</v>
      </c>
      <c r="AA48" s="160">
        <f>O48-Z48</f>
        <v>-934549.97</v>
      </c>
      <c r="AB48" s="134">
        <f>IF(ISERR(AA48/Z48),"-",AA48/Z48)</f>
        <v>-1</v>
      </c>
      <c r="AC48" s="251"/>
      <c r="AD48" s="151">
        <v>818621.04</v>
      </c>
      <c r="AE48" s="160">
        <f>S48-AD48</f>
        <v>-166803.69700000004</v>
      </c>
      <c r="AF48" s="134">
        <f>IF(ISERR(AE48/AD48),"-",AE48/AD48)</f>
        <v>-0.20376180045409051</v>
      </c>
      <c r="AH48" s="151">
        <v>829111.89</v>
      </c>
      <c r="AI48" s="160">
        <f>S48-AH48</f>
        <v>-177294.54700000002</v>
      </c>
      <c r="AJ48" s="134">
        <f>IF(ISERR(AI48/AH48),"-",AI48/AH48)</f>
        <v>-0.21383669579265113</v>
      </c>
    </row>
    <row r="49" spans="1:36" ht="13.45" hidden="1" customHeight="1" outlineLevel="1" x14ac:dyDescent="0.35">
      <c r="A49" s="246"/>
      <c r="B49" s="246"/>
      <c r="C49" s="146"/>
      <c r="D49" s="122" t="s">
        <v>51</v>
      </c>
      <c r="E49" s="123"/>
      <c r="F49" s="247">
        <f>F48</f>
        <v>26.62</v>
      </c>
      <c r="G49" s="125">
        <f t="shared" si="39"/>
        <v>-26.62</v>
      </c>
      <c r="H49" s="242"/>
      <c r="I49" s="152"/>
      <c r="J49" s="153"/>
      <c r="K49" s="239"/>
      <c r="L49" s="130"/>
      <c r="M49" s="248"/>
      <c r="N49" s="239">
        <f t="shared" si="33"/>
        <v>0</v>
      </c>
      <c r="O49" s="239"/>
      <c r="P49" s="240"/>
      <c r="Q49" s="249"/>
      <c r="R49" s="155"/>
      <c r="S49" s="155"/>
      <c r="T49" s="156"/>
      <c r="U49" s="217"/>
      <c r="V49" s="157"/>
      <c r="W49" s="134"/>
      <c r="X49" s="250"/>
      <c r="Y49" s="251"/>
      <c r="Z49" s="151"/>
      <c r="AA49" s="160"/>
      <c r="AB49" s="134"/>
      <c r="AC49" s="251"/>
      <c r="AD49" s="151"/>
      <c r="AE49" s="160"/>
      <c r="AF49" s="134"/>
      <c r="AH49" s="151"/>
      <c r="AI49" s="160"/>
      <c r="AJ49" s="134"/>
    </row>
    <row r="50" spans="1:36" ht="13.45" hidden="1" customHeight="1" outlineLevel="1" x14ac:dyDescent="0.35">
      <c r="A50" s="246" t="s">
        <v>101</v>
      </c>
      <c r="B50" s="246" t="s">
        <v>102</v>
      </c>
      <c r="C50" s="146"/>
      <c r="D50" s="122"/>
      <c r="E50" s="252"/>
      <c r="F50" s="247"/>
      <c r="G50" s="125"/>
      <c r="H50" s="151"/>
      <c r="I50" s="152"/>
      <c r="J50" s="153">
        <f t="shared" si="29"/>
        <v>0</v>
      </c>
      <c r="K50" s="239"/>
      <c r="L50" s="130"/>
      <c r="M50" s="248"/>
      <c r="N50" s="239">
        <f t="shared" si="33"/>
        <v>0</v>
      </c>
      <c r="O50" s="239"/>
      <c r="P50" s="240">
        <f t="shared" si="30"/>
        <v>0</v>
      </c>
      <c r="Q50" s="249">
        <v>24836.27</v>
      </c>
      <c r="R50" s="155">
        <f>'[1]Salary Projections'!Q17-'[1]Operating Results'!Q50</f>
        <v>-4.0000000000873115E-2</v>
      </c>
      <c r="S50" s="155">
        <f t="shared" si="36"/>
        <v>24836.23</v>
      </c>
      <c r="T50" s="156">
        <f t="shared" si="37"/>
        <v>1.0000016105503935</v>
      </c>
      <c r="U50" s="217">
        <f>S50-I50</f>
        <v>24836.23</v>
      </c>
      <c r="V50" s="157">
        <f t="shared" si="31"/>
        <v>-24836.23</v>
      </c>
      <c r="W50" s="134" t="str">
        <f t="shared" ref="W50:W55" si="40">IF(ISERR(V50/P50),"-",V50/P50)</f>
        <v>-</v>
      </c>
      <c r="X50" s="250"/>
      <c r="Y50" s="251"/>
      <c r="Z50" s="151">
        <f>'[1]2021-22'!C238</f>
        <v>8100.87</v>
      </c>
      <c r="AA50" s="160">
        <f>O50-Z50</f>
        <v>-8100.87</v>
      </c>
      <c r="AB50" s="134">
        <f>IF(ISERR(AA50/Z50),"-",AA50/Z50)</f>
        <v>-1</v>
      </c>
      <c r="AC50" s="251"/>
      <c r="AD50" s="151">
        <v>17128.48</v>
      </c>
      <c r="AE50" s="160">
        <f>S50-AD50</f>
        <v>7707.75</v>
      </c>
      <c r="AF50" s="134">
        <f>IF(ISERR(AE50/AD50),"-",AE50/AD50)</f>
        <v>0.44999614676842314</v>
      </c>
      <c r="AH50" s="151">
        <v>12086.59</v>
      </c>
      <c r="AI50" s="160">
        <f>S50-AH50</f>
        <v>12749.64</v>
      </c>
      <c r="AJ50" s="134">
        <f>IF(ISERR(AI50/AH50),"-",AI50/AH50)</f>
        <v>1.0548583181856916</v>
      </c>
    </row>
    <row r="51" spans="1:36" ht="13.45" hidden="1" customHeight="1" outlineLevel="1" x14ac:dyDescent="0.35">
      <c r="A51" s="246" t="s">
        <v>103</v>
      </c>
      <c r="B51" s="246" t="s">
        <v>104</v>
      </c>
      <c r="C51" s="146"/>
      <c r="D51" s="122"/>
      <c r="E51" s="252"/>
      <c r="F51" s="247"/>
      <c r="G51" s="228"/>
      <c r="H51" s="151"/>
      <c r="I51" s="152"/>
      <c r="J51" s="153">
        <f t="shared" si="29"/>
        <v>0</v>
      </c>
      <c r="K51" s="239"/>
      <c r="L51" s="130"/>
      <c r="M51" s="248"/>
      <c r="N51" s="239">
        <f t="shared" si="33"/>
        <v>0</v>
      </c>
      <c r="O51" s="239"/>
      <c r="P51" s="240">
        <f t="shared" si="30"/>
        <v>0</v>
      </c>
      <c r="Q51" s="249">
        <v>43645.29</v>
      </c>
      <c r="R51" s="155">
        <f>'[1]Salary Projections'!Q24-'[1]Operating Results'!Q51</f>
        <v>2992.5840000000026</v>
      </c>
      <c r="S51" s="155">
        <f t="shared" si="36"/>
        <v>46637.874000000003</v>
      </c>
      <c r="T51" s="156">
        <f t="shared" si="37"/>
        <v>0.93583361025418954</v>
      </c>
      <c r="U51" s="217">
        <f>S51-I51</f>
        <v>46637.874000000003</v>
      </c>
      <c r="V51" s="157">
        <f t="shared" si="31"/>
        <v>-46637.874000000003</v>
      </c>
      <c r="W51" s="134" t="str">
        <f t="shared" si="40"/>
        <v>-</v>
      </c>
      <c r="X51" s="250"/>
      <c r="Y51" s="251"/>
      <c r="Z51" s="151">
        <f>'[1]2021-22'!C239</f>
        <v>188734.53</v>
      </c>
      <c r="AA51" s="160">
        <f>O51-Z51</f>
        <v>-188734.53</v>
      </c>
      <c r="AB51" s="134">
        <f>IF(ISERR(AA51/Z51),"-",AA51/Z51)</f>
        <v>-1</v>
      </c>
      <c r="AC51" s="251"/>
      <c r="AD51" s="151">
        <v>124062.56</v>
      </c>
      <c r="AE51" s="160">
        <f>S51-AD51</f>
        <v>-77424.685999999987</v>
      </c>
      <c r="AF51" s="134">
        <f>IF(ISERR(AE51/AD51),"-",AE51/AD51)</f>
        <v>-0.62407777173064938</v>
      </c>
      <c r="AH51" s="151">
        <v>119252.13</v>
      </c>
      <c r="AI51" s="160">
        <f>S51-AH51</f>
        <v>-72614.255999999994</v>
      </c>
      <c r="AJ51" s="134">
        <f>IF(ISERR(AI51/AH51),"-",AI51/AH51)</f>
        <v>-0.60891370242191889</v>
      </c>
    </row>
    <row r="52" spans="1:36" ht="13.45" hidden="1" customHeight="1" outlineLevel="1" x14ac:dyDescent="0.35">
      <c r="A52" s="246" t="s">
        <v>105</v>
      </c>
      <c r="B52" s="246" t="s">
        <v>106</v>
      </c>
      <c r="C52" s="146"/>
      <c r="D52" s="122"/>
      <c r="E52" s="252"/>
      <c r="F52" s="247"/>
      <c r="G52" s="228"/>
      <c r="H52" s="151"/>
      <c r="I52" s="152"/>
      <c r="J52" s="153">
        <f t="shared" si="29"/>
        <v>0</v>
      </c>
      <c r="K52" s="239"/>
      <c r="L52" s="130"/>
      <c r="M52" s="248"/>
      <c r="N52" s="239">
        <f t="shared" si="33"/>
        <v>0</v>
      </c>
      <c r="O52" s="239"/>
      <c r="P52" s="240">
        <f t="shared" si="30"/>
        <v>0</v>
      </c>
      <c r="Q52" s="249">
        <v>3143.51</v>
      </c>
      <c r="R52" s="155">
        <f>P52-Q52</f>
        <v>-3143.51</v>
      </c>
      <c r="S52" s="155">
        <f t="shared" si="36"/>
        <v>0</v>
      </c>
      <c r="T52" s="156" t="str">
        <f t="shared" si="37"/>
        <v>-</v>
      </c>
      <c r="U52" s="217">
        <f>S52-I52</f>
        <v>0</v>
      </c>
      <c r="V52" s="157">
        <f t="shared" si="31"/>
        <v>0</v>
      </c>
      <c r="W52" s="134" t="str">
        <f t="shared" si="40"/>
        <v>-</v>
      </c>
      <c r="X52" s="250"/>
      <c r="Y52" s="251"/>
      <c r="Z52" s="151">
        <f>'[1]2021-22'!C244</f>
        <v>80671.91</v>
      </c>
      <c r="AA52" s="160"/>
      <c r="AB52" s="134"/>
      <c r="AC52" s="251"/>
      <c r="AD52" s="151"/>
      <c r="AE52" s="160"/>
      <c r="AF52" s="134"/>
      <c r="AH52" s="151"/>
      <c r="AI52" s="160"/>
      <c r="AJ52" s="134"/>
    </row>
    <row r="53" spans="1:36" ht="13.45" hidden="1" customHeight="1" outlineLevel="1" x14ac:dyDescent="0.35">
      <c r="A53" s="246" t="s">
        <v>107</v>
      </c>
      <c r="B53" s="246" t="s">
        <v>108</v>
      </c>
      <c r="C53" s="146"/>
      <c r="D53" s="122"/>
      <c r="E53" s="252"/>
      <c r="F53" s="247"/>
      <c r="G53" s="228"/>
      <c r="H53" s="151"/>
      <c r="I53" s="152"/>
      <c r="J53" s="153">
        <f t="shared" si="29"/>
        <v>0</v>
      </c>
      <c r="K53" s="239"/>
      <c r="L53" s="130"/>
      <c r="M53" s="248">
        <f>1200+152.44+4500+900</f>
        <v>6752.4400000000005</v>
      </c>
      <c r="N53" s="239">
        <f t="shared" si="33"/>
        <v>6752.4400000000005</v>
      </c>
      <c r="O53" s="239"/>
      <c r="P53" s="240">
        <f t="shared" si="30"/>
        <v>6752.4400000000005</v>
      </c>
      <c r="Q53" s="249">
        <v>406501.36</v>
      </c>
      <c r="R53" s="155">
        <f>P53-Q53</f>
        <v>-399748.92</v>
      </c>
      <c r="S53" s="155">
        <f t="shared" si="36"/>
        <v>6752.4400000000023</v>
      </c>
      <c r="T53" s="156">
        <f t="shared" si="37"/>
        <v>60.200662279116862</v>
      </c>
      <c r="U53" s="217">
        <f>S53-I53</f>
        <v>6752.4400000000023</v>
      </c>
      <c r="V53" s="157">
        <f t="shared" si="31"/>
        <v>0</v>
      </c>
      <c r="W53" s="134">
        <f t="shared" si="40"/>
        <v>0</v>
      </c>
      <c r="X53" s="250"/>
      <c r="Y53" s="251"/>
      <c r="Z53" s="151">
        <f>'[1]2021-22'!C278</f>
        <v>74728.08</v>
      </c>
      <c r="AA53" s="160">
        <f>O53-Z53</f>
        <v>-74728.08</v>
      </c>
      <c r="AB53" s="134">
        <f>IF(ISERR(AA53/Z53),"-",AA53/Z53)</f>
        <v>-1</v>
      </c>
      <c r="AC53" s="251"/>
      <c r="AD53" s="151">
        <v>0</v>
      </c>
      <c r="AE53" s="160">
        <f>S53-AD53</f>
        <v>6752.4400000000023</v>
      </c>
      <c r="AF53" s="134" t="str">
        <f>IF(ISERR(AE53/AD53),"-",AE53/AD53)</f>
        <v>-</v>
      </c>
      <c r="AH53" s="151">
        <v>3464.5</v>
      </c>
      <c r="AI53" s="160">
        <f>S53-AH53</f>
        <v>3287.9400000000023</v>
      </c>
      <c r="AJ53" s="134">
        <f>IF(ISERR(AI53/AH53),"-",AI53/AH53)</f>
        <v>0.94903737913118846</v>
      </c>
    </row>
    <row r="54" spans="1:36" ht="13.45" hidden="1" customHeight="1" outlineLevel="1" x14ac:dyDescent="0.35">
      <c r="A54" s="246" t="s">
        <v>109</v>
      </c>
      <c r="B54" s="246" t="s">
        <v>110</v>
      </c>
      <c r="C54" s="146"/>
      <c r="D54" s="122"/>
      <c r="E54" s="252"/>
      <c r="F54" s="247"/>
      <c r="G54" s="228"/>
      <c r="H54" s="151"/>
      <c r="I54" s="152"/>
      <c r="J54" s="153">
        <f t="shared" si="29"/>
        <v>0</v>
      </c>
      <c r="K54" s="248"/>
      <c r="L54" s="130"/>
      <c r="M54" s="248">
        <f>3287.17+67362+3150+79639+1718.24+16941.19+38000</f>
        <v>210097.59999999998</v>
      </c>
      <c r="N54" s="239">
        <f t="shared" si="33"/>
        <v>210097.59999999998</v>
      </c>
      <c r="O54" s="239"/>
      <c r="P54" s="240">
        <f t="shared" si="30"/>
        <v>210097.59999999998</v>
      </c>
      <c r="Q54" s="249">
        <f>61086.05+95866.61</f>
        <v>156952.66</v>
      </c>
      <c r="R54" s="155">
        <f>P54-Q54</f>
        <v>53144.939999999973</v>
      </c>
      <c r="S54" s="155">
        <f t="shared" si="36"/>
        <v>210097.59999999998</v>
      </c>
      <c r="T54" s="156">
        <f t="shared" si="37"/>
        <v>0.74704642033036084</v>
      </c>
      <c r="U54" s="217">
        <f>S54-I54</f>
        <v>210097.59999999998</v>
      </c>
      <c r="V54" s="157">
        <f t="shared" si="31"/>
        <v>0</v>
      </c>
      <c r="W54" s="134">
        <f t="shared" si="40"/>
        <v>0</v>
      </c>
      <c r="X54" s="250"/>
      <c r="Y54" s="251"/>
      <c r="Z54" s="151">
        <f>'[1]2021-22'!C214</f>
        <v>159979.72</v>
      </c>
      <c r="AA54" s="160"/>
      <c r="AB54" s="134"/>
      <c r="AC54" s="251"/>
      <c r="AD54" s="151"/>
      <c r="AE54" s="160"/>
      <c r="AF54" s="134"/>
      <c r="AH54" s="151"/>
      <c r="AI54" s="160"/>
      <c r="AJ54" s="134"/>
    </row>
    <row r="55" spans="1:36" ht="13.45" customHeight="1" collapsed="1" x14ac:dyDescent="0.4">
      <c r="A55" s="1" t="s">
        <v>111</v>
      </c>
      <c r="E55" s="229">
        <f>SUM(E40:E54)</f>
        <v>0</v>
      </c>
      <c r="F55" s="178">
        <f>F41+F46+F49</f>
        <v>158.14000000000001</v>
      </c>
      <c r="G55" s="179">
        <f t="shared" ref="G55:S55" si="41">SUM(G40:G54)</f>
        <v>-316.28000000000003</v>
      </c>
      <c r="H55" s="230">
        <f t="shared" si="41"/>
        <v>12097539</v>
      </c>
      <c r="I55" s="230">
        <f t="shared" si="41"/>
        <v>12627559</v>
      </c>
      <c r="J55" s="231">
        <f t="shared" si="41"/>
        <v>530020</v>
      </c>
      <c r="K55" s="185">
        <f t="shared" si="41"/>
        <v>12097539</v>
      </c>
      <c r="L55" s="183">
        <f>SUM(L40:L54)</f>
        <v>-579941</v>
      </c>
      <c r="M55" s="185">
        <f t="shared" si="41"/>
        <v>221850.03999999998</v>
      </c>
      <c r="N55" s="185">
        <f t="shared" si="41"/>
        <v>11739448.039999999</v>
      </c>
      <c r="O55" s="253">
        <f t="shared" si="41"/>
        <v>530020</v>
      </c>
      <c r="P55" s="185">
        <f t="shared" si="41"/>
        <v>12269468.039999999</v>
      </c>
      <c r="Q55" s="187">
        <f t="shared" si="41"/>
        <v>9405697.379999999</v>
      </c>
      <c r="R55" s="188">
        <f t="shared" si="41"/>
        <v>1420713.1860000002</v>
      </c>
      <c r="S55" s="188">
        <f t="shared" si="41"/>
        <v>10826410.566</v>
      </c>
      <c r="T55" s="189">
        <f t="shared" si="37"/>
        <v>0.86877338732546261</v>
      </c>
      <c r="U55" s="232">
        <f>SUM(U40:U54)</f>
        <v>-1801148.4339999999</v>
      </c>
      <c r="V55" s="190">
        <f>SUM(V40:V54)</f>
        <v>1443057.4739999997</v>
      </c>
      <c r="W55" s="191">
        <f t="shared" si="40"/>
        <v>0.11761369517369881</v>
      </c>
      <c r="X55" s="192"/>
      <c r="Y55" s="174"/>
      <c r="Z55" s="193">
        <f>SUM(Z40:Z54)</f>
        <v>10330322.420000002</v>
      </c>
      <c r="AA55" s="233">
        <f>SUM(AA40:AA54)</f>
        <v>-9559650.7899999991</v>
      </c>
      <c r="AB55" s="191">
        <f>IF(ISERR(AA55/Z55),"-",AA55/Z55)</f>
        <v>-0.92539713683012015</v>
      </c>
      <c r="AC55" s="174"/>
      <c r="AD55" s="193">
        <f>SUM(AD40:AD54)</f>
        <v>7930549.4199999999</v>
      </c>
      <c r="AE55" s="233">
        <f>SUM(AE40:AE54)</f>
        <v>2685763.5459999996</v>
      </c>
      <c r="AF55" s="191">
        <f>IF(ISERR(AE55/AD55),"-",AE55/AD55)</f>
        <v>0.33866046395559812</v>
      </c>
      <c r="AH55" s="193">
        <v>7905239.8699999992</v>
      </c>
      <c r="AI55" s="233">
        <f>SUM(AI40:AI54)</f>
        <v>2711073.0960000008</v>
      </c>
      <c r="AJ55" s="191">
        <f t="shared" ref="AJ55" si="42">IF(ISERR(AI55/AH55),"-",AI55/AH55)</f>
        <v>0.3429463419937947</v>
      </c>
    </row>
    <row r="56" spans="1:36" ht="13.45" customHeight="1" x14ac:dyDescent="0.4">
      <c r="A56" s="1"/>
      <c r="B56" s="13"/>
      <c r="E56" s="195"/>
      <c r="F56" s="196"/>
      <c r="G56" s="197"/>
      <c r="H56" s="195"/>
      <c r="I56" s="214"/>
      <c r="J56" s="214"/>
      <c r="K56" s="171"/>
      <c r="L56" s="130"/>
      <c r="M56" s="171"/>
      <c r="N56" s="171"/>
      <c r="O56" s="171"/>
      <c r="P56" s="171"/>
      <c r="Q56" s="172"/>
      <c r="R56" s="214"/>
      <c r="S56" s="214"/>
      <c r="T56" s="132"/>
      <c r="U56" s="234"/>
      <c r="V56" s="235"/>
      <c r="W56" s="203"/>
      <c r="X56" s="204"/>
      <c r="Y56" s="205"/>
      <c r="Z56" s="113"/>
      <c r="AA56" s="118"/>
      <c r="AB56" s="119"/>
      <c r="AC56" s="205"/>
      <c r="AD56" s="113"/>
      <c r="AE56" s="118"/>
      <c r="AF56" s="119"/>
      <c r="AH56" s="113"/>
      <c r="AI56" s="118"/>
      <c r="AJ56" s="119"/>
    </row>
    <row r="57" spans="1:36" ht="13.45" customHeight="1" x14ac:dyDescent="0.4">
      <c r="A57" s="1"/>
      <c r="B57" s="13"/>
      <c r="E57" s="195"/>
      <c r="F57" s="196"/>
      <c r="G57" s="197"/>
      <c r="H57" s="195"/>
      <c r="I57" s="214"/>
      <c r="J57" s="214"/>
      <c r="K57" s="171"/>
      <c r="L57" s="130"/>
      <c r="M57" s="171"/>
      <c r="N57" s="171"/>
      <c r="O57" s="171"/>
      <c r="P57" s="171"/>
      <c r="Q57" s="172"/>
      <c r="R57" s="214"/>
      <c r="S57" s="214"/>
      <c r="T57" s="132"/>
      <c r="U57" s="234"/>
      <c r="V57" s="235"/>
      <c r="W57" s="203"/>
      <c r="X57" s="204"/>
      <c r="Y57" s="205"/>
      <c r="Z57" s="113"/>
      <c r="AA57" s="118"/>
      <c r="AB57" s="119"/>
      <c r="AC57" s="205"/>
      <c r="AD57" s="113"/>
      <c r="AE57" s="118"/>
      <c r="AF57" s="119"/>
      <c r="AH57" s="113"/>
      <c r="AI57" s="118"/>
      <c r="AJ57" s="119"/>
    </row>
    <row r="58" spans="1:36" ht="13.45" hidden="1" customHeight="1" outlineLevel="1" x14ac:dyDescent="0.4">
      <c r="A58" s="120" t="s">
        <v>112</v>
      </c>
      <c r="B58" s="13"/>
      <c r="E58" s="195"/>
      <c r="F58" s="196"/>
      <c r="G58" s="197"/>
      <c r="H58" s="195"/>
      <c r="I58" s="214"/>
      <c r="J58" s="214"/>
      <c r="K58" s="171"/>
      <c r="L58" s="130"/>
      <c r="M58" s="171"/>
      <c r="N58" s="171"/>
      <c r="O58" s="171"/>
      <c r="P58" s="171"/>
      <c r="Q58" s="172"/>
      <c r="R58" s="214"/>
      <c r="S58" s="214"/>
      <c r="T58" s="214"/>
      <c r="U58" s="236"/>
      <c r="V58" s="235"/>
      <c r="W58" s="203"/>
      <c r="X58" s="204"/>
      <c r="Y58" s="205"/>
      <c r="Z58" s="113"/>
      <c r="AA58" s="118"/>
      <c r="AB58" s="119"/>
      <c r="AC58" s="205"/>
      <c r="AD58" s="113"/>
      <c r="AE58" s="118"/>
      <c r="AF58" s="119"/>
      <c r="AH58" s="113"/>
      <c r="AI58" s="118"/>
      <c r="AJ58" s="119"/>
    </row>
    <row r="59" spans="1:36" ht="13.45" hidden="1" customHeight="1" outlineLevel="1" x14ac:dyDescent="0.35">
      <c r="A59" s="66" t="s">
        <v>113</v>
      </c>
      <c r="B59" s="14" t="s">
        <v>114</v>
      </c>
      <c r="D59" s="122" t="s">
        <v>50</v>
      </c>
      <c r="E59" s="123"/>
      <c r="F59" s="196">
        <v>8.5</v>
      </c>
      <c r="G59" s="125">
        <f t="shared" ref="G59:G60" si="43">E59-F59</f>
        <v>-8.5</v>
      </c>
      <c r="H59" s="151">
        <v>622300</v>
      </c>
      <c r="I59" s="127">
        <v>622300</v>
      </c>
      <c r="J59" s="140">
        <f t="shared" ref="J59:J67" si="44">I59-H59</f>
        <v>0</v>
      </c>
      <c r="K59" s="129">
        <v>622300</v>
      </c>
      <c r="L59" s="130">
        <v>-166360</v>
      </c>
      <c r="M59" s="245"/>
      <c r="N59" s="129">
        <f>K59+M59+L59</f>
        <v>455940</v>
      </c>
      <c r="O59" s="129"/>
      <c r="P59" s="129">
        <f>N59+O59</f>
        <v>455940</v>
      </c>
      <c r="Q59" s="244">
        <v>332439.65000000002</v>
      </c>
      <c r="R59" s="155">
        <f>'[1]Salary Projections'!T10-'[1]Operating Results'!Q59</f>
        <v>73842.549999999988</v>
      </c>
      <c r="S59" s="254">
        <f t="shared" ref="S59:S65" si="45">SUM(Q59:R59)</f>
        <v>406282.2</v>
      </c>
      <c r="T59" s="156">
        <f t="shared" ref="T59:T66" si="46">IF(ISERR(Q59/S59),"-",Q59/S59)</f>
        <v>0.81824812900983601</v>
      </c>
      <c r="U59" s="217">
        <f>S59-I59</f>
        <v>-216017.8</v>
      </c>
      <c r="V59" s="202">
        <f t="shared" ref="V59:V67" si="47">P59-S59</f>
        <v>49657.799999999988</v>
      </c>
      <c r="W59" s="227">
        <f>IF(ISERR(V59/P59),"-",V59/P59)</f>
        <v>0.10891301487037766</v>
      </c>
      <c r="X59" s="173"/>
      <c r="Y59" s="174"/>
      <c r="Z59" s="137">
        <f>'[1]2021-22'!C304</f>
        <v>349801.03</v>
      </c>
      <c r="AA59" s="255">
        <f>O59-Z59</f>
        <v>-349801.03</v>
      </c>
      <c r="AB59" s="227">
        <f>IF(ISERR(AA59/Z59),"-",AA59/Z59)</f>
        <v>-1</v>
      </c>
      <c r="AC59" s="174"/>
      <c r="AD59" s="137">
        <v>339976.84</v>
      </c>
      <c r="AE59" s="255">
        <f>S59-AD59</f>
        <v>66305.359999999986</v>
      </c>
      <c r="AF59" s="227">
        <f>IF(ISERR(AE59/AD59),"-",AE59/AD59)</f>
        <v>0.19502904962585094</v>
      </c>
      <c r="AH59" s="137">
        <v>341631.36</v>
      </c>
      <c r="AI59" s="255">
        <f>S59-AH59</f>
        <v>64650.840000000026</v>
      </c>
      <c r="AJ59" s="227">
        <f t="shared" ref="AJ59" si="48">IF(ISERR(AI59/AH59),"-",AI59/AH59)</f>
        <v>0.18924152630484517</v>
      </c>
    </row>
    <row r="60" spans="1:36" ht="13.45" hidden="1" customHeight="1" outlineLevel="1" x14ac:dyDescent="0.35">
      <c r="A60" s="66"/>
      <c r="D60" s="122" t="s">
        <v>51</v>
      </c>
      <c r="E60" s="123"/>
      <c r="F60" s="196">
        <f>F59</f>
        <v>8.5</v>
      </c>
      <c r="G60" s="125">
        <f t="shared" si="43"/>
        <v>-8.5</v>
      </c>
      <c r="H60" s="151"/>
      <c r="I60" s="127"/>
      <c r="J60" s="140"/>
      <c r="K60" s="129"/>
      <c r="L60" s="130"/>
      <c r="M60" s="245"/>
      <c r="N60" s="129"/>
      <c r="O60" s="129"/>
      <c r="P60" s="240">
        <f t="shared" ref="P60:P67" si="49">N60+O60</f>
        <v>0</v>
      </c>
      <c r="Q60" s="244"/>
      <c r="R60" s="155"/>
      <c r="S60" s="254"/>
      <c r="T60" s="156"/>
      <c r="U60" s="217"/>
      <c r="V60" s="202"/>
      <c r="W60" s="227"/>
      <c r="X60" s="173"/>
      <c r="Y60" s="174"/>
      <c r="Z60" s="145"/>
      <c r="AA60" s="255"/>
      <c r="AB60" s="227"/>
      <c r="AC60" s="174"/>
      <c r="AD60" s="145"/>
      <c r="AE60" s="255"/>
      <c r="AF60" s="227"/>
      <c r="AH60" s="145"/>
      <c r="AI60" s="255"/>
      <c r="AJ60" s="227"/>
    </row>
    <row r="61" spans="1:36" ht="13.45" hidden="1" customHeight="1" outlineLevel="1" x14ac:dyDescent="0.35">
      <c r="A61" s="66" t="s">
        <v>115</v>
      </c>
      <c r="B61" s="14" t="s">
        <v>116</v>
      </c>
      <c r="E61" s="167"/>
      <c r="F61" s="168"/>
      <c r="G61" s="169"/>
      <c r="H61" s="151"/>
      <c r="I61" s="152"/>
      <c r="J61" s="153">
        <f t="shared" si="44"/>
        <v>0</v>
      </c>
      <c r="K61" s="239"/>
      <c r="L61" s="130"/>
      <c r="M61" s="243">
        <v>10194</v>
      </c>
      <c r="N61" s="239">
        <f>K61+M61+L61</f>
        <v>10194</v>
      </c>
      <c r="O61" s="239"/>
      <c r="P61" s="240">
        <f t="shared" si="49"/>
        <v>10194</v>
      </c>
      <c r="Q61" s="256">
        <v>17185.12</v>
      </c>
      <c r="R61" s="155">
        <f>P61-Q61</f>
        <v>-6991.119999999999</v>
      </c>
      <c r="S61" s="155">
        <f t="shared" si="45"/>
        <v>10194</v>
      </c>
      <c r="T61" s="156">
        <f t="shared" si="46"/>
        <v>1.6858073376495977</v>
      </c>
      <c r="U61" s="217">
        <f t="shared" ref="U61:U67" si="50">S61-I61</f>
        <v>10194</v>
      </c>
      <c r="V61" s="157">
        <f t="shared" si="47"/>
        <v>0</v>
      </c>
      <c r="W61" s="227">
        <f t="shared" ref="W61:W68" si="51">IF(ISERR(V61/P61),"-",V61/P61)</f>
        <v>0</v>
      </c>
      <c r="X61" s="173"/>
      <c r="Y61" s="174"/>
      <c r="Z61" s="175">
        <f>SUM('[1]2021-22'!C305:C318)</f>
        <v>25194.140000000003</v>
      </c>
      <c r="AA61" s="226">
        <f>O61-Z61</f>
        <v>-25194.140000000003</v>
      </c>
      <c r="AB61" s="227">
        <f>IF(ISERR(AA61/Z61),"-",AA61/Z61)</f>
        <v>-1</v>
      </c>
      <c r="AC61" s="174"/>
      <c r="AD61" s="175">
        <v>29179.589999999997</v>
      </c>
      <c r="AE61" s="226">
        <f>S61-AD61</f>
        <v>-18985.589999999997</v>
      </c>
      <c r="AF61" s="227">
        <f>IF(ISERR(AE61/AD61),"-",AE61/AD61)</f>
        <v>-0.6506462222395859</v>
      </c>
      <c r="AH61" s="175">
        <v>30901.54</v>
      </c>
      <c r="AI61" s="226">
        <f>S61-AH61</f>
        <v>-20707.54</v>
      </c>
      <c r="AJ61" s="227">
        <f t="shared" ref="AJ61:AJ65" si="52">IF(ISERR(AI61/AH61),"-",AI61/AH61)</f>
        <v>-0.67011352832253668</v>
      </c>
    </row>
    <row r="62" spans="1:36" ht="13.45" hidden="1" customHeight="1" outlineLevel="1" x14ac:dyDescent="0.35">
      <c r="A62" s="66" t="s">
        <v>117</v>
      </c>
      <c r="B62" s="66" t="s">
        <v>118</v>
      </c>
      <c r="E62" s="195"/>
      <c r="F62" s="196"/>
      <c r="G62" s="197"/>
      <c r="H62" s="151">
        <v>55800</v>
      </c>
      <c r="I62" s="152">
        <v>55800</v>
      </c>
      <c r="J62" s="153">
        <f t="shared" si="44"/>
        <v>0</v>
      </c>
      <c r="K62" s="239">
        <v>55800</v>
      </c>
      <c r="L62" s="130"/>
      <c r="M62" s="243"/>
      <c r="N62" s="239">
        <f t="shared" ref="N62:N67" si="53">K62+M62+L62</f>
        <v>55800</v>
      </c>
      <c r="O62" s="239"/>
      <c r="P62" s="240">
        <f t="shared" si="49"/>
        <v>55800</v>
      </c>
      <c r="Q62" s="256"/>
      <c r="R62" s="155">
        <f>55800-Q62</f>
        <v>55800</v>
      </c>
      <c r="S62" s="155">
        <f>SUM(Q62:R62)</f>
        <v>55800</v>
      </c>
      <c r="T62" s="156">
        <f>IF(ISERR(Q62/S62),"-",Q62/S62)</f>
        <v>0</v>
      </c>
      <c r="U62" s="217">
        <f t="shared" si="50"/>
        <v>0</v>
      </c>
      <c r="V62" s="157">
        <f t="shared" si="47"/>
        <v>0</v>
      </c>
      <c r="W62" s="134">
        <f t="shared" si="51"/>
        <v>0</v>
      </c>
      <c r="X62" s="173"/>
      <c r="Y62" s="174"/>
      <c r="Z62" s="175">
        <f>'[1]2021-22'!C382</f>
        <v>3406.6</v>
      </c>
      <c r="AA62" s="160"/>
      <c r="AB62" s="134">
        <f>IF(ISERR(AA62/Z62),"-",AA62/Z62)</f>
        <v>0</v>
      </c>
      <c r="AC62" s="174"/>
      <c r="AD62" s="175"/>
      <c r="AE62" s="160"/>
      <c r="AF62" s="134" t="str">
        <f>IF(ISERR(AE62/AD62),"-",AE62/AD62)</f>
        <v>-</v>
      </c>
      <c r="AH62" s="175"/>
      <c r="AI62" s="160"/>
      <c r="AJ62" s="134" t="str">
        <f t="shared" si="52"/>
        <v>-</v>
      </c>
    </row>
    <row r="63" spans="1:36" ht="13.45" hidden="1" customHeight="1" outlineLevel="1" x14ac:dyDescent="0.35">
      <c r="A63" s="66" t="s">
        <v>119</v>
      </c>
      <c r="B63" s="66" t="s">
        <v>120</v>
      </c>
      <c r="E63" s="195"/>
      <c r="F63" s="196"/>
      <c r="G63" s="197"/>
      <c r="H63" s="151">
        <v>193400</v>
      </c>
      <c r="I63" s="152">
        <v>193400</v>
      </c>
      <c r="J63" s="153">
        <f t="shared" si="44"/>
        <v>0</v>
      </c>
      <c r="K63" s="239">
        <v>193400</v>
      </c>
      <c r="L63" s="130">
        <v>-193400</v>
      </c>
      <c r="M63" s="243"/>
      <c r="N63" s="239">
        <f t="shared" si="53"/>
        <v>0</v>
      </c>
      <c r="O63" s="239"/>
      <c r="P63" s="240">
        <f t="shared" si="49"/>
        <v>0</v>
      </c>
      <c r="Q63" s="256">
        <v>75186.990000000005</v>
      </c>
      <c r="R63" s="155">
        <f>-Q63</f>
        <v>-75186.990000000005</v>
      </c>
      <c r="S63" s="155">
        <f>SUM(Q63:R63)</f>
        <v>0</v>
      </c>
      <c r="T63" s="156" t="str">
        <f>IF(ISERR(Q63/S63),"-",Q63/S63)</f>
        <v>-</v>
      </c>
      <c r="U63" s="217">
        <f t="shared" si="50"/>
        <v>-193400</v>
      </c>
      <c r="V63" s="157">
        <f t="shared" si="47"/>
        <v>0</v>
      </c>
      <c r="W63" s="134" t="str">
        <f t="shared" si="51"/>
        <v>-</v>
      </c>
      <c r="X63" s="173"/>
      <c r="Y63" s="174"/>
      <c r="Z63" s="175">
        <f>SUM('[1]2021-22'!C383:C386)</f>
        <v>79784.19</v>
      </c>
      <c r="AA63" s="160">
        <f>O63-Z63</f>
        <v>-79784.19</v>
      </c>
      <c r="AB63" s="134">
        <f>IF(ISERR(AA63/Z63),"-",AA63/Z63)</f>
        <v>-1</v>
      </c>
      <c r="AC63" s="174"/>
      <c r="AD63" s="175">
        <v>106653.3</v>
      </c>
      <c r="AE63" s="160">
        <f>S63-AD63</f>
        <v>-106653.3</v>
      </c>
      <c r="AF63" s="134">
        <f>IF(ISERR(AE63/AD63),"-",AE63/AD63)</f>
        <v>-1</v>
      </c>
      <c r="AH63" s="175">
        <v>81931.09</v>
      </c>
      <c r="AI63" s="160">
        <f>S63-AH63</f>
        <v>-81931.09</v>
      </c>
      <c r="AJ63" s="134">
        <f t="shared" si="52"/>
        <v>-1</v>
      </c>
    </row>
    <row r="64" spans="1:36" ht="13.45" hidden="1" customHeight="1" outlineLevel="1" x14ac:dyDescent="0.35">
      <c r="A64" s="66" t="s">
        <v>121</v>
      </c>
      <c r="B64" s="66" t="s">
        <v>122</v>
      </c>
      <c r="E64" s="195"/>
      <c r="F64" s="196"/>
      <c r="G64" s="197"/>
      <c r="H64" s="151"/>
      <c r="I64" s="152"/>
      <c r="J64" s="153">
        <f t="shared" si="44"/>
        <v>0</v>
      </c>
      <c r="K64" s="239"/>
      <c r="L64" s="130"/>
      <c r="M64" s="243">
        <f>757270+183000</f>
        <v>940270</v>
      </c>
      <c r="N64" s="239">
        <f t="shared" si="53"/>
        <v>940270</v>
      </c>
      <c r="O64" s="239"/>
      <c r="P64" s="240">
        <f t="shared" si="49"/>
        <v>940270</v>
      </c>
      <c r="Q64" s="256">
        <v>371444.27</v>
      </c>
      <c r="R64" s="155">
        <f>P64-Q64</f>
        <v>568825.73</v>
      </c>
      <c r="S64" s="155">
        <f>SUM(Q64:R64)</f>
        <v>940270</v>
      </c>
      <c r="T64" s="156">
        <f>IF(ISERR(Q64/S64),"-",Q64/S64)</f>
        <v>0.39504000978442366</v>
      </c>
      <c r="U64" s="217">
        <f t="shared" si="50"/>
        <v>940270</v>
      </c>
      <c r="V64" s="157">
        <f t="shared" si="47"/>
        <v>0</v>
      </c>
      <c r="W64" s="134">
        <f t="shared" si="51"/>
        <v>0</v>
      </c>
      <c r="X64" s="173"/>
      <c r="Y64" s="174"/>
      <c r="Z64" s="175">
        <f>'[1]2021-22'!C551</f>
        <v>333057.08</v>
      </c>
      <c r="AA64" s="160">
        <f>O64-Z64</f>
        <v>-333057.08</v>
      </c>
      <c r="AB64" s="134">
        <f>IF(ISERR(AA64/Z64),"-",AA64/Z64)</f>
        <v>-1</v>
      </c>
      <c r="AC64" s="174"/>
      <c r="AD64" s="175">
        <v>504482.26</v>
      </c>
      <c r="AE64" s="160">
        <f>S64-AD64</f>
        <v>435787.74</v>
      </c>
      <c r="AF64" s="134">
        <f>IF(ISERR(AE64/AD64),"-",AE64/AD64)</f>
        <v>0.86383164395116685</v>
      </c>
      <c r="AH64" s="175">
        <v>349062.7</v>
      </c>
      <c r="AI64" s="160">
        <f>S64-AH64</f>
        <v>591207.30000000005</v>
      </c>
      <c r="AJ64" s="134">
        <f t="shared" si="52"/>
        <v>1.6936994413897561</v>
      </c>
    </row>
    <row r="65" spans="1:36" ht="13.45" hidden="1" customHeight="1" outlineLevel="1" x14ac:dyDescent="0.35">
      <c r="A65" s="66" t="s">
        <v>123</v>
      </c>
      <c r="B65" s="66" t="s">
        <v>124</v>
      </c>
      <c r="E65" s="195"/>
      <c r="F65" s="196"/>
      <c r="G65" s="125"/>
      <c r="H65" s="151">
        <v>450000</v>
      </c>
      <c r="I65" s="152">
        <v>450000</v>
      </c>
      <c r="J65" s="153">
        <f t="shared" si="44"/>
        <v>0</v>
      </c>
      <c r="K65" s="239">
        <v>450000</v>
      </c>
      <c r="L65" s="130">
        <v>-100000</v>
      </c>
      <c r="M65" s="243"/>
      <c r="N65" s="239">
        <f t="shared" si="53"/>
        <v>350000</v>
      </c>
      <c r="O65" s="239"/>
      <c r="P65" s="240">
        <f t="shared" si="49"/>
        <v>350000</v>
      </c>
      <c r="Q65" s="172">
        <v>126482.69</v>
      </c>
      <c r="R65" s="155">
        <f>P65-Q65-100000</f>
        <v>123517.31</v>
      </c>
      <c r="S65" s="155">
        <f t="shared" si="45"/>
        <v>250000</v>
      </c>
      <c r="T65" s="156">
        <f t="shared" si="46"/>
        <v>0.50593076000000003</v>
      </c>
      <c r="U65" s="217">
        <f t="shared" si="50"/>
        <v>-200000</v>
      </c>
      <c r="V65" s="157">
        <f t="shared" si="47"/>
        <v>100000</v>
      </c>
      <c r="W65" s="227">
        <f t="shared" si="51"/>
        <v>0.2857142857142857</v>
      </c>
      <c r="X65" s="173"/>
      <c r="Y65" s="174"/>
      <c r="Z65" s="175">
        <f>'[1]2021-22'!C575</f>
        <v>222068.81</v>
      </c>
      <c r="AA65" s="226">
        <f>O65-Z65</f>
        <v>-222068.81</v>
      </c>
      <c r="AB65" s="227">
        <f>IF(ISERR(AA65/Z65),"-",AA65/Z65)</f>
        <v>-1</v>
      </c>
      <c r="AC65" s="174"/>
      <c r="AD65" s="175">
        <v>268681.84999999998</v>
      </c>
      <c r="AE65" s="226">
        <f>S65-AD65</f>
        <v>-18681.849999999977</v>
      </c>
      <c r="AF65" s="227">
        <f>IF(ISERR(AE65/AD65),"-",AE65/AD65)</f>
        <v>-6.9531492357969016E-2</v>
      </c>
      <c r="AH65" s="175">
        <v>263101.90999999997</v>
      </c>
      <c r="AI65" s="226">
        <f>S65-AH65</f>
        <v>-13101.909999999974</v>
      </c>
      <c r="AJ65" s="227">
        <f t="shared" si="52"/>
        <v>-4.9797852094650229E-2</v>
      </c>
    </row>
    <row r="66" spans="1:36" ht="13.45" hidden="1" customHeight="1" outlineLevel="1" x14ac:dyDescent="0.35">
      <c r="A66" s="66" t="s">
        <v>125</v>
      </c>
      <c r="B66" s="66" t="s">
        <v>126</v>
      </c>
      <c r="E66" s="195"/>
      <c r="F66" s="196"/>
      <c r="G66" s="125"/>
      <c r="H66" s="151"/>
      <c r="I66" s="152">
        <v>95000</v>
      </c>
      <c r="J66" s="153">
        <f t="shared" si="44"/>
        <v>95000</v>
      </c>
      <c r="K66" s="239"/>
      <c r="L66" s="130">
        <v>-100000</v>
      </c>
      <c r="M66" s="243">
        <f>9000+2594.1+624115+36904+1430.65+1493150+4000+12000+32500+32500+7000+25000+793+1000+8000+158000+6200+45970+33980+40000-1</f>
        <v>2574135.75</v>
      </c>
      <c r="N66" s="239">
        <f t="shared" si="53"/>
        <v>2474135.75</v>
      </c>
      <c r="O66" s="239">
        <v>95000</v>
      </c>
      <c r="P66" s="240">
        <f t="shared" si="49"/>
        <v>2569135.75</v>
      </c>
      <c r="Q66" s="172">
        <f>446057.11+43986.04+187589.21+101860.47+4011.26+29034.42+58935.77+5250+168.32+4078.55+7733.81+61.37+5634.47+1511.9+146676.96+104257.61+93904.73</f>
        <v>1240752</v>
      </c>
      <c r="R66" s="155">
        <f>P66-Q66</f>
        <v>1328383.75</v>
      </c>
      <c r="S66" s="155">
        <f t="shared" ref="S66" si="54">SUM(Q66:R66)</f>
        <v>2569135.75</v>
      </c>
      <c r="T66" s="156">
        <f t="shared" si="46"/>
        <v>0.48294528617259713</v>
      </c>
      <c r="U66" s="217">
        <f t="shared" si="50"/>
        <v>2474135.75</v>
      </c>
      <c r="V66" s="157">
        <f t="shared" si="47"/>
        <v>0</v>
      </c>
      <c r="W66" s="227">
        <f t="shared" si="51"/>
        <v>0</v>
      </c>
      <c r="X66" s="173"/>
      <c r="Y66" s="174"/>
      <c r="Z66" s="175">
        <f>'[1]2021-22'!C373+'[1]2021-22'!C394+'[1]2021-22'!C409+'[1]2021-22'!C435+'[1]2021-22'!C443+'[1]2021-22'!C448+'[1]2021-22'!C463+'[1]2021-22'!C477+'[1]2021-22'!C489+'[1]2021-22'!C499+'[1]2021-22'!C505+'[1]2021-22'!C521+'[1]2021-22'!C530+'[1]2021-22'!C594+'[1]2021-22'!C599+'[1]2021-22'!C610+'[1]2021-22'!C621+'[1]2021-22'!C626+'[1]2021-22'!C632+'[1]2021-22'!C643</f>
        <v>826832.1</v>
      </c>
      <c r="AA66" s="226"/>
      <c r="AB66" s="227"/>
      <c r="AC66" s="174"/>
      <c r="AD66" s="175"/>
      <c r="AE66" s="226"/>
      <c r="AF66" s="227"/>
      <c r="AH66" s="175"/>
      <c r="AI66" s="226"/>
      <c r="AJ66" s="227"/>
    </row>
    <row r="67" spans="1:36" ht="13.45" hidden="1" customHeight="1" outlineLevel="1" x14ac:dyDescent="0.35">
      <c r="A67" s="66" t="s">
        <v>127</v>
      </c>
      <c r="B67" s="14" t="s">
        <v>128</v>
      </c>
      <c r="E67" s="252"/>
      <c r="F67" s="196"/>
      <c r="G67" s="125"/>
      <c r="H67" s="151">
        <v>233900</v>
      </c>
      <c r="I67" s="152">
        <v>233900</v>
      </c>
      <c r="J67" s="153">
        <f t="shared" si="44"/>
        <v>0</v>
      </c>
      <c r="K67" s="239">
        <v>233900</v>
      </c>
      <c r="L67" s="130">
        <v>-233900</v>
      </c>
      <c r="M67" s="171"/>
      <c r="N67" s="239">
        <f t="shared" si="53"/>
        <v>0</v>
      </c>
      <c r="O67" s="239"/>
      <c r="P67" s="240">
        <f t="shared" si="49"/>
        <v>0</v>
      </c>
      <c r="Q67" s="257"/>
      <c r="R67" s="155">
        <v>0</v>
      </c>
      <c r="S67" s="155">
        <f>SUM(Q67:R67)</f>
        <v>0</v>
      </c>
      <c r="T67" s="156" t="str">
        <f>IF(ISERR(Q67/S67),"-",Q67/S67)</f>
        <v>-</v>
      </c>
      <c r="U67" s="217">
        <f t="shared" si="50"/>
        <v>-233900</v>
      </c>
      <c r="V67" s="157">
        <f t="shared" si="47"/>
        <v>0</v>
      </c>
      <c r="W67" s="134" t="str">
        <f t="shared" si="51"/>
        <v>-</v>
      </c>
      <c r="X67" s="173"/>
      <c r="Y67" s="174"/>
      <c r="Z67" s="175">
        <f>'[1]2021-22'!C648</f>
        <v>0</v>
      </c>
      <c r="AA67" s="160">
        <f>O67-Z67</f>
        <v>0</v>
      </c>
      <c r="AB67" s="134" t="str">
        <f>IF(ISERR(AA67/Z67),"-",AA67/Z67)</f>
        <v>-</v>
      </c>
      <c r="AC67" s="174"/>
      <c r="AD67" s="175">
        <v>0</v>
      </c>
      <c r="AE67" s="160">
        <f>S67-AD67</f>
        <v>0</v>
      </c>
      <c r="AF67" s="134" t="str">
        <f>IF(ISERR(AE67/AD67),"-",AE67/AD67)</f>
        <v>-</v>
      </c>
      <c r="AH67" s="175">
        <v>100</v>
      </c>
      <c r="AI67" s="160">
        <f>S67-AH67</f>
        <v>-100</v>
      </c>
      <c r="AJ67" s="134">
        <f t="shared" ref="AJ67:AJ68" si="55">IF(ISERR(AI67/AH67),"-",AI67/AH67)</f>
        <v>-1</v>
      </c>
    </row>
    <row r="68" spans="1:36" ht="13.45" customHeight="1" collapsed="1" x14ac:dyDescent="0.4">
      <c r="A68" s="1" t="s">
        <v>129</v>
      </c>
      <c r="E68" s="229">
        <f>E60</f>
        <v>0</v>
      </c>
      <c r="F68" s="178">
        <f t="shared" ref="F68:G68" si="56">F60</f>
        <v>8.5</v>
      </c>
      <c r="G68" s="179">
        <f t="shared" si="56"/>
        <v>-8.5</v>
      </c>
      <c r="H68" s="230">
        <f>SUM(H59:H67)</f>
        <v>1555400</v>
      </c>
      <c r="I68" s="230">
        <f t="shared" ref="I68:S68" si="57">SUM(I59:I67)</f>
        <v>1650400</v>
      </c>
      <c r="J68" s="231">
        <f t="shared" si="57"/>
        <v>95000</v>
      </c>
      <c r="K68" s="185">
        <f t="shared" si="57"/>
        <v>1555400</v>
      </c>
      <c r="L68" s="183">
        <f>SUM(L59:L67)</f>
        <v>-793660</v>
      </c>
      <c r="M68" s="185">
        <f t="shared" si="57"/>
        <v>3524599.75</v>
      </c>
      <c r="N68" s="185">
        <f t="shared" si="57"/>
        <v>4286339.75</v>
      </c>
      <c r="O68" s="185">
        <f t="shared" si="57"/>
        <v>95000</v>
      </c>
      <c r="P68" s="185">
        <f t="shared" si="57"/>
        <v>4381339.75</v>
      </c>
      <c r="Q68" s="187">
        <f t="shared" si="57"/>
        <v>2163490.7199999997</v>
      </c>
      <c r="R68" s="188">
        <f t="shared" si="57"/>
        <v>2068191.23</v>
      </c>
      <c r="S68" s="188">
        <f t="shared" si="57"/>
        <v>4231681.95</v>
      </c>
      <c r="T68" s="189">
        <f>IF(ISERR(Q68/S68),"-",Q68/S68)</f>
        <v>0.5112602377879556</v>
      </c>
      <c r="U68" s="232">
        <f>SUM(U59:U67)</f>
        <v>2581281.9500000002</v>
      </c>
      <c r="V68" s="190">
        <f>SUM(V59:V67)</f>
        <v>149657.79999999999</v>
      </c>
      <c r="W68" s="191">
        <f t="shared" si="51"/>
        <v>3.4157999274080489E-2</v>
      </c>
      <c r="X68" s="192"/>
      <c r="Y68" s="174"/>
      <c r="Z68" s="193">
        <f>SUM(Z59:Z67)</f>
        <v>1840143.9500000002</v>
      </c>
      <c r="AA68" s="233">
        <f>SUM(AA59:AA67)</f>
        <v>-1009905.25</v>
      </c>
      <c r="AB68" s="191">
        <f>IF(ISERR(AA68/Z68),"-",AA68/Z68)</f>
        <v>-0.548818612804721</v>
      </c>
      <c r="AC68" s="174"/>
      <c r="AD68" s="193">
        <f>SUM(AD59:AD67)</f>
        <v>1248973.8399999999</v>
      </c>
      <c r="AE68" s="233">
        <f>SUM(AE59:AE67)</f>
        <v>357772.36</v>
      </c>
      <c r="AF68" s="191">
        <f>IF(ISERR(AE68/AD68),"-",AE68/AD68)</f>
        <v>0.28645304532559307</v>
      </c>
      <c r="AH68" s="193">
        <v>1066728.5999999999</v>
      </c>
      <c r="AI68" s="233">
        <f>SUM(AI59:AI67)</f>
        <v>540017.60000000009</v>
      </c>
      <c r="AJ68" s="191">
        <f t="shared" si="55"/>
        <v>0.5062371066079977</v>
      </c>
    </row>
    <row r="69" spans="1:36" ht="13.45" customHeight="1" x14ac:dyDescent="0.4">
      <c r="A69" s="1"/>
      <c r="E69" s="195"/>
      <c r="F69" s="196"/>
      <c r="G69" s="197"/>
      <c r="H69" s="195"/>
      <c r="I69" s="198"/>
      <c r="J69" s="198"/>
      <c r="K69" s="199"/>
      <c r="L69" s="130"/>
      <c r="M69" s="199"/>
      <c r="N69" s="199"/>
      <c r="O69" s="199"/>
      <c r="P69" s="199"/>
      <c r="Q69" s="200"/>
      <c r="R69" s="198"/>
      <c r="S69" s="198"/>
      <c r="T69" s="198"/>
      <c r="U69" s="258"/>
      <c r="V69" s="202"/>
      <c r="W69" s="203"/>
      <c r="X69" s="204"/>
      <c r="Y69" s="205"/>
      <c r="Z69" s="113"/>
      <c r="AA69" s="118"/>
      <c r="AB69" s="119"/>
      <c r="AC69" s="205"/>
      <c r="AD69" s="113"/>
      <c r="AE69" s="118"/>
      <c r="AF69" s="119"/>
      <c r="AH69" s="113"/>
      <c r="AI69" s="118"/>
      <c r="AJ69" s="119"/>
    </row>
    <row r="70" spans="1:36" ht="13.45" customHeight="1" x14ac:dyDescent="0.4">
      <c r="A70" s="1"/>
      <c r="E70" s="195"/>
      <c r="F70" s="196"/>
      <c r="G70" s="197"/>
      <c r="H70" s="195"/>
      <c r="I70" s="198"/>
      <c r="J70" s="198"/>
      <c r="K70" s="199"/>
      <c r="L70" s="130"/>
      <c r="M70" s="199"/>
      <c r="N70" s="199"/>
      <c r="O70" s="199"/>
      <c r="P70" s="199"/>
      <c r="Q70" s="200"/>
      <c r="R70" s="198"/>
      <c r="S70" s="198"/>
      <c r="T70" s="198"/>
      <c r="U70" s="258"/>
      <c r="V70" s="202"/>
      <c r="W70" s="203"/>
      <c r="X70" s="204"/>
      <c r="Y70" s="205"/>
      <c r="Z70" s="113"/>
      <c r="AA70" s="118"/>
      <c r="AB70" s="119"/>
      <c r="AC70" s="205"/>
      <c r="AD70" s="113"/>
      <c r="AE70" s="118"/>
      <c r="AF70" s="119"/>
      <c r="AH70" s="113"/>
      <c r="AI70" s="118"/>
      <c r="AJ70" s="119"/>
    </row>
    <row r="71" spans="1:36" ht="13.45" hidden="1" customHeight="1" outlineLevel="1" x14ac:dyDescent="0.4">
      <c r="A71" s="120" t="s">
        <v>130</v>
      </c>
      <c r="B71" s="13"/>
      <c r="E71" s="195"/>
      <c r="F71" s="196"/>
      <c r="G71" s="197"/>
      <c r="H71" s="195"/>
      <c r="I71" s="214"/>
      <c r="J71" s="214"/>
      <c r="K71" s="171"/>
      <c r="L71" s="130"/>
      <c r="M71" s="171"/>
      <c r="N71" s="171"/>
      <c r="O71" s="171"/>
      <c r="P71" s="171"/>
      <c r="Q71" s="172"/>
      <c r="R71" s="214"/>
      <c r="S71" s="214"/>
      <c r="T71" s="214"/>
      <c r="U71" s="236"/>
      <c r="V71" s="235"/>
      <c r="W71" s="203"/>
      <c r="X71" s="204"/>
      <c r="Y71" s="205"/>
      <c r="Z71" s="113"/>
      <c r="AA71" s="118"/>
      <c r="AB71" s="119"/>
      <c r="AC71" s="205"/>
      <c r="AD71" s="113"/>
      <c r="AE71" s="118"/>
      <c r="AF71" s="119"/>
      <c r="AH71" s="113"/>
      <c r="AI71" s="118"/>
      <c r="AJ71" s="119"/>
    </row>
    <row r="72" spans="1:36" ht="13.45" hidden="1" customHeight="1" outlineLevel="1" x14ac:dyDescent="0.35">
      <c r="A72" s="66" t="s">
        <v>131</v>
      </c>
      <c r="B72" s="14" t="s">
        <v>132</v>
      </c>
      <c r="D72" s="122"/>
      <c r="E72" s="123"/>
      <c r="F72" s="168">
        <v>0</v>
      </c>
      <c r="G72" s="125"/>
      <c r="H72" s="237"/>
      <c r="I72" s="127"/>
      <c r="J72" s="140">
        <f>I72-H72</f>
        <v>0</v>
      </c>
      <c r="K72" s="129"/>
      <c r="L72" s="130"/>
      <c r="M72" s="245"/>
      <c r="N72" s="129">
        <f>K72+M72+L72</f>
        <v>0</v>
      </c>
      <c r="O72" s="129"/>
      <c r="P72" s="129">
        <f>N72+O72</f>
        <v>0</v>
      </c>
      <c r="Q72" s="244">
        <v>1241019.8999999999</v>
      </c>
      <c r="R72" s="155">
        <f>P72-Q72</f>
        <v>-1241019.8999999999</v>
      </c>
      <c r="S72" s="254">
        <f>SUM(Q72:R72)</f>
        <v>0</v>
      </c>
      <c r="T72" s="156" t="str">
        <f>IF(ISERR(Q72/S72),"-",Q72/S72)</f>
        <v>-</v>
      </c>
      <c r="U72" s="217">
        <f>S72-I72</f>
        <v>0</v>
      </c>
      <c r="V72" s="202">
        <f t="shared" ref="V72:V74" si="58">P72-S72</f>
        <v>0</v>
      </c>
      <c r="W72" s="227" t="str">
        <f>IF(ISERR(V72/P72),"-",V72/P72)</f>
        <v>-</v>
      </c>
      <c r="X72" s="173" t="s">
        <v>133</v>
      </c>
      <c r="Y72" s="174"/>
      <c r="Z72" s="137">
        <f>'[1]2021-22'!C333</f>
        <v>0</v>
      </c>
      <c r="AA72" s="226">
        <f>O72-Z72</f>
        <v>0</v>
      </c>
      <c r="AB72" s="227" t="str">
        <f>IF(ISERR(AA72/Z72),"-",AA72/Z72)</f>
        <v>-</v>
      </c>
      <c r="AC72" s="174"/>
      <c r="AD72" s="137">
        <v>0</v>
      </c>
      <c r="AE72" s="226">
        <f>S72-AD72</f>
        <v>0</v>
      </c>
      <c r="AF72" s="227" t="str">
        <f>IF(ISERR(AE72/AD72),"-",AE72/AD72)</f>
        <v>-</v>
      </c>
      <c r="AH72" s="137">
        <v>0</v>
      </c>
      <c r="AI72" s="226">
        <f>S72-AH72</f>
        <v>0</v>
      </c>
      <c r="AJ72" s="227" t="str">
        <f t="shared" ref="AJ72:AJ74" si="59">IF(ISERR(AI72/AH72),"-",AI72/AH72)</f>
        <v>-</v>
      </c>
    </row>
    <row r="73" spans="1:36" ht="13.45" hidden="1" customHeight="1" outlineLevel="1" x14ac:dyDescent="0.35">
      <c r="A73" s="66" t="s">
        <v>134</v>
      </c>
      <c r="B73" s="14" t="s">
        <v>70</v>
      </c>
      <c r="E73" s="195"/>
      <c r="F73" s="196"/>
      <c r="G73" s="197"/>
      <c r="H73" s="175">
        <v>509600</v>
      </c>
      <c r="I73" s="152">
        <v>509600</v>
      </c>
      <c r="J73" s="153">
        <f>I73-H73</f>
        <v>0</v>
      </c>
      <c r="K73" s="142">
        <v>509600</v>
      </c>
      <c r="L73" s="130"/>
      <c r="M73" s="243">
        <v>39360</v>
      </c>
      <c r="N73" s="142">
        <f>K73+M73+L73</f>
        <v>548960</v>
      </c>
      <c r="O73" s="142"/>
      <c r="P73" s="240">
        <f t="shared" ref="P73:P74" si="60">N73+O73</f>
        <v>548960</v>
      </c>
      <c r="Q73" s="256">
        <v>141621.94</v>
      </c>
      <c r="R73" s="155">
        <f>P73-Q73-100000</f>
        <v>307338.06</v>
      </c>
      <c r="S73" s="155">
        <f>SUM(Q73:R73)</f>
        <v>448960</v>
      </c>
      <c r="T73" s="156">
        <f>IF(ISERR(Q73/S73),"-",Q73/S73)</f>
        <v>0.31544444939415539</v>
      </c>
      <c r="U73" s="217">
        <f>S73-I73</f>
        <v>-60640</v>
      </c>
      <c r="V73" s="157">
        <f t="shared" si="58"/>
        <v>100000</v>
      </c>
      <c r="W73" s="227">
        <f>IF(ISERR(V73/P73),"-",V73/P73)</f>
        <v>0.18216263480034975</v>
      </c>
      <c r="X73" s="173"/>
      <c r="Y73" s="174"/>
      <c r="Z73" s="145"/>
      <c r="AA73" s="226"/>
      <c r="AB73" s="227"/>
      <c r="AC73" s="174"/>
      <c r="AD73" s="145"/>
      <c r="AE73" s="226"/>
      <c r="AF73" s="227"/>
      <c r="AH73" s="145"/>
      <c r="AI73" s="226"/>
      <c r="AJ73" s="227"/>
    </row>
    <row r="74" spans="1:36" ht="13.45" hidden="1" customHeight="1" outlineLevel="1" x14ac:dyDescent="0.35">
      <c r="A74" s="66" t="s">
        <v>135</v>
      </c>
      <c r="B74" s="14" t="s">
        <v>136</v>
      </c>
      <c r="E74" s="195"/>
      <c r="F74" s="196"/>
      <c r="G74" s="197"/>
      <c r="H74" s="175"/>
      <c r="I74" s="152"/>
      <c r="J74" s="153">
        <f>I74-H74</f>
        <v>0</v>
      </c>
      <c r="K74" s="142"/>
      <c r="L74" s="130"/>
      <c r="M74" s="243"/>
      <c r="N74" s="142">
        <f>K74+M74+L74</f>
        <v>0</v>
      </c>
      <c r="O74" s="142"/>
      <c r="P74" s="240">
        <f t="shared" si="60"/>
        <v>0</v>
      </c>
      <c r="Q74" s="256">
        <v>115134.69</v>
      </c>
      <c r="R74" s="155">
        <f>P74-Q74</f>
        <v>-115134.69</v>
      </c>
      <c r="S74" s="155">
        <f>SUM(Q74:R74)</f>
        <v>0</v>
      </c>
      <c r="T74" s="156" t="str">
        <f>IF(ISERR(Q74/S74),"-",Q74/S74)</f>
        <v>-</v>
      </c>
      <c r="U74" s="217">
        <f>S74-I74</f>
        <v>0</v>
      </c>
      <c r="V74" s="157">
        <f t="shared" si="58"/>
        <v>0</v>
      </c>
      <c r="W74" s="227" t="str">
        <f>IF(ISERR(V74/P74),"-",V74/P74)</f>
        <v>-</v>
      </c>
      <c r="X74" s="173" t="s">
        <v>133</v>
      </c>
      <c r="Y74" s="174"/>
      <c r="Z74" s="175">
        <f>SUM('[1]2021-22'!C334:C348)+'[1]2021-22'!C366</f>
        <v>1336892.6100000001</v>
      </c>
      <c r="AA74" s="226">
        <f>O74-Z74</f>
        <v>-1336892.6100000001</v>
      </c>
      <c r="AB74" s="227">
        <f>IF(ISERR(AA74/Z74),"-",AA74/Z74)</f>
        <v>-1</v>
      </c>
      <c r="AC74" s="174"/>
      <c r="AD74" s="175">
        <v>336287.73</v>
      </c>
      <c r="AE74" s="226">
        <f>S74-AD74</f>
        <v>-336287.73</v>
      </c>
      <c r="AF74" s="227">
        <f>IF(ISERR(AE74/AD74),"-",AE74/AD74)</f>
        <v>-1</v>
      </c>
      <c r="AH74" s="175">
        <v>379643.77</v>
      </c>
      <c r="AI74" s="226">
        <f>S74-AH74</f>
        <v>-379643.77</v>
      </c>
      <c r="AJ74" s="227">
        <f t="shared" si="59"/>
        <v>-1</v>
      </c>
    </row>
    <row r="75" spans="1:36" ht="13.45" customHeight="1" collapsed="1" x14ac:dyDescent="0.4">
      <c r="A75" s="1" t="s">
        <v>137</v>
      </c>
      <c r="E75" s="229">
        <f t="shared" ref="E75:G75" si="61">SUM(E72:E74)</f>
        <v>0</v>
      </c>
      <c r="F75" s="178">
        <f t="shared" si="61"/>
        <v>0</v>
      </c>
      <c r="G75" s="179">
        <f t="shared" si="61"/>
        <v>0</v>
      </c>
      <c r="H75" s="230">
        <f>SUM(H72:H74)</f>
        <v>509600</v>
      </c>
      <c r="I75" s="230">
        <f t="shared" ref="I75:S75" si="62">SUM(I72:I74)</f>
        <v>509600</v>
      </c>
      <c r="J75" s="231">
        <f t="shared" si="62"/>
        <v>0</v>
      </c>
      <c r="K75" s="185">
        <f t="shared" si="62"/>
        <v>509600</v>
      </c>
      <c r="L75" s="183">
        <f>SUM(L72:L74)</f>
        <v>0</v>
      </c>
      <c r="M75" s="185">
        <f t="shared" si="62"/>
        <v>39360</v>
      </c>
      <c r="N75" s="185">
        <f t="shared" si="62"/>
        <v>548960</v>
      </c>
      <c r="O75" s="185">
        <f t="shared" si="62"/>
        <v>0</v>
      </c>
      <c r="P75" s="185">
        <f t="shared" si="62"/>
        <v>548960</v>
      </c>
      <c r="Q75" s="187">
        <f t="shared" si="62"/>
        <v>1497776.5299999998</v>
      </c>
      <c r="R75" s="259">
        <f t="shared" si="62"/>
        <v>-1048816.5299999998</v>
      </c>
      <c r="S75" s="188">
        <f t="shared" si="62"/>
        <v>448960</v>
      </c>
      <c r="T75" s="189">
        <f>IF(ISERR(Q75/S75),"-",Q75/S75)</f>
        <v>3.3361023921952953</v>
      </c>
      <c r="U75" s="232">
        <f>SUM(U72:U74)</f>
        <v>-60640</v>
      </c>
      <c r="V75" s="190">
        <f>SUM(V72:V74)</f>
        <v>100000</v>
      </c>
      <c r="W75" s="191">
        <f>IF(ISERR(V75/P75),"-",V75/P75)</f>
        <v>0.18216263480034975</v>
      </c>
      <c r="X75" s="192"/>
      <c r="Y75" s="174"/>
      <c r="Z75" s="193">
        <f>SUM(Z72:Z74)</f>
        <v>1336892.6100000001</v>
      </c>
      <c r="AA75" s="233">
        <f>SUM(AA72:AA74)</f>
        <v>-1336892.6100000001</v>
      </c>
      <c r="AB75" s="191">
        <f>IF(ISERR(AA75/Z75),"-",AA75/Z75)</f>
        <v>-1</v>
      </c>
      <c r="AC75" s="174"/>
      <c r="AD75" s="193">
        <f>SUM(AD72:AD74)</f>
        <v>336287.73</v>
      </c>
      <c r="AE75" s="233">
        <f>SUM(AE72:AE74)</f>
        <v>-336287.73</v>
      </c>
      <c r="AF75" s="191">
        <f>IF(ISERR(AE75/AD75),"-",AE75/AD75)</f>
        <v>-1</v>
      </c>
      <c r="AH75" s="193">
        <v>379643.77</v>
      </c>
      <c r="AI75" s="233">
        <f>SUM(AI72:AI74)</f>
        <v>-379643.77</v>
      </c>
      <c r="AJ75" s="191">
        <f>IF(ISERR(AI75/AH75),"-",AI75/AH75)</f>
        <v>-1</v>
      </c>
    </row>
    <row r="76" spans="1:36" ht="13.45" customHeight="1" x14ac:dyDescent="0.4">
      <c r="A76" s="1"/>
      <c r="E76" s="195"/>
      <c r="F76" s="196"/>
      <c r="G76" s="197"/>
      <c r="H76" s="195"/>
      <c r="I76" s="214"/>
      <c r="J76" s="214"/>
      <c r="K76" s="171"/>
      <c r="L76" s="130"/>
      <c r="M76" s="171"/>
      <c r="N76" s="171"/>
      <c r="O76" s="171"/>
      <c r="P76" s="171"/>
      <c r="Q76" s="172"/>
      <c r="R76" s="214"/>
      <c r="S76" s="214"/>
      <c r="T76" s="214"/>
      <c r="U76" s="236"/>
      <c r="V76" s="235"/>
      <c r="W76" s="203"/>
      <c r="X76" s="204"/>
      <c r="Y76" s="205"/>
      <c r="Z76" s="113"/>
      <c r="AA76" s="118"/>
      <c r="AB76" s="119"/>
      <c r="AC76" s="205"/>
      <c r="AD76" s="113"/>
      <c r="AE76" s="118"/>
      <c r="AF76" s="119"/>
      <c r="AH76" s="113"/>
      <c r="AI76" s="118"/>
      <c r="AJ76" s="119"/>
    </row>
    <row r="77" spans="1:36" ht="13.45" customHeight="1" x14ac:dyDescent="0.4">
      <c r="A77" s="13"/>
      <c r="B77" s="13"/>
      <c r="E77" s="195"/>
      <c r="F77" s="196"/>
      <c r="G77" s="197"/>
      <c r="H77" s="195"/>
      <c r="K77" s="141"/>
      <c r="L77" s="130"/>
      <c r="M77" s="141"/>
      <c r="N77" s="141"/>
      <c r="O77" s="141"/>
      <c r="P77" s="141"/>
      <c r="Q77" s="113"/>
      <c r="U77" s="117"/>
      <c r="V77" s="212"/>
      <c r="W77" s="213"/>
      <c r="X77" s="173"/>
      <c r="Y77" s="174"/>
      <c r="Z77" s="113"/>
      <c r="AA77" s="118"/>
      <c r="AB77" s="119"/>
      <c r="AC77" s="174"/>
      <c r="AD77" s="113"/>
      <c r="AE77" s="118"/>
      <c r="AF77" s="119"/>
      <c r="AH77" s="113"/>
      <c r="AI77" s="118"/>
      <c r="AJ77" s="119"/>
    </row>
    <row r="78" spans="1:36" ht="13.45" hidden="1" customHeight="1" outlineLevel="1" x14ac:dyDescent="0.4">
      <c r="A78" s="120" t="s">
        <v>138</v>
      </c>
      <c r="B78" s="13"/>
      <c r="E78" s="195"/>
      <c r="F78" s="196"/>
      <c r="G78" s="197"/>
      <c r="H78" s="195"/>
      <c r="K78" s="141"/>
      <c r="L78" s="130"/>
      <c r="M78" s="141"/>
      <c r="N78" s="141"/>
      <c r="O78" s="141"/>
      <c r="P78" s="141"/>
      <c r="Q78" s="113"/>
      <c r="U78" s="117"/>
      <c r="V78" s="212"/>
      <c r="W78" s="213"/>
      <c r="X78" s="173"/>
      <c r="Y78" s="174"/>
      <c r="Z78" s="113"/>
      <c r="AA78" s="118"/>
      <c r="AB78" s="119"/>
      <c r="AC78" s="174"/>
      <c r="AD78" s="113"/>
      <c r="AE78" s="118"/>
      <c r="AF78" s="119"/>
      <c r="AH78" s="113"/>
      <c r="AI78" s="118"/>
      <c r="AJ78" s="119"/>
    </row>
    <row r="79" spans="1:36" s="161" customFormat="1" ht="13.45" hidden="1" customHeight="1" outlineLevel="1" x14ac:dyDescent="0.45">
      <c r="A79" s="121" t="s">
        <v>139</v>
      </c>
      <c r="B79" s="121" t="s">
        <v>140</v>
      </c>
      <c r="D79" s="122" t="s">
        <v>50</v>
      </c>
      <c r="E79" s="123"/>
      <c r="F79" s="163">
        <f>181.85+5+1</f>
        <v>187.85</v>
      </c>
      <c r="G79" s="125">
        <f t="shared" ref="G79:G80" si="63">E79-F79</f>
        <v>-187.85</v>
      </c>
      <c r="H79" s="237">
        <f>9364200+2160600</f>
        <v>11524800</v>
      </c>
      <c r="I79" s="127">
        <v>11524800</v>
      </c>
      <c r="J79" s="140">
        <f>I79-H79</f>
        <v>0</v>
      </c>
      <c r="K79" s="129">
        <v>11524800</v>
      </c>
      <c r="L79" s="130"/>
      <c r="M79" s="260"/>
      <c r="N79" s="129">
        <f>K79+M79+L79</f>
        <v>11524800</v>
      </c>
      <c r="O79" s="129">
        <f>931082+528587</f>
        <v>1459669</v>
      </c>
      <c r="P79" s="129">
        <f>N79+O79</f>
        <v>12984469</v>
      </c>
      <c r="Q79" s="261">
        <v>10095739.689999999</v>
      </c>
      <c r="R79" s="155">
        <f>'[1]Salary Projections'!W10-'[1]Operating Results'!Q79</f>
        <v>1854426.7559999991</v>
      </c>
      <c r="S79" s="262">
        <f>SUM(Q79:R79)</f>
        <v>11950166.445999999</v>
      </c>
      <c r="T79" s="132">
        <f t="shared" ref="T79:T103" si="64">IF(ISERR(Q79/S79),"-",Q79/S79)</f>
        <v>0.84482000611625629</v>
      </c>
      <c r="U79" s="217">
        <f>S79-I79</f>
        <v>425366.4459999986</v>
      </c>
      <c r="V79" s="263">
        <f t="shared" ref="V79:V103" si="65">P79-S79</f>
        <v>1034302.5540000014</v>
      </c>
      <c r="W79" s="134">
        <f>IF(ISERR(V79/P79),"-",V79/P79)</f>
        <v>7.9656900409250581E-2</v>
      </c>
      <c r="X79" s="165"/>
      <c r="Y79" s="166"/>
      <c r="Z79" s="137">
        <f>'[1]2021-22'!C651</f>
        <v>6453108.25</v>
      </c>
      <c r="AA79" s="264">
        <f>O79-Z79</f>
        <v>-4993439.25</v>
      </c>
      <c r="AB79" s="134">
        <f>IF(ISERR(AA79/Z79),"-",AA79/Z79)</f>
        <v>-0.77380373248813861</v>
      </c>
      <c r="AC79" s="166"/>
      <c r="AD79" s="137">
        <v>7429022.5599999996</v>
      </c>
      <c r="AE79" s="264">
        <f>S79-AD79</f>
        <v>4521143.885999999</v>
      </c>
      <c r="AF79" s="134">
        <f>IF(ISERR(AE79/AD79),"-",AE79/AD79)</f>
        <v>0.60857856460729332</v>
      </c>
      <c r="AH79" s="137">
        <v>7469774.3499999996</v>
      </c>
      <c r="AI79" s="264">
        <f>S79-AH79</f>
        <v>4480392.095999999</v>
      </c>
      <c r="AJ79" s="134">
        <f>IF(ISERR(AI79/AH79),"-",AI79/AH79)</f>
        <v>0.59980287035042756</v>
      </c>
    </row>
    <row r="80" spans="1:36" s="161" customFormat="1" ht="13.45" hidden="1" customHeight="1" outlineLevel="1" x14ac:dyDescent="0.45">
      <c r="A80" s="121"/>
      <c r="B80" s="121"/>
      <c r="D80" s="122" t="s">
        <v>51</v>
      </c>
      <c r="E80" s="123"/>
      <c r="F80" s="163">
        <f>F79+0.06</f>
        <v>187.91</v>
      </c>
      <c r="G80" s="125">
        <f t="shared" si="63"/>
        <v>-187.91</v>
      </c>
      <c r="H80" s="237"/>
      <c r="I80" s="127"/>
      <c r="J80" s="140"/>
      <c r="K80" s="129"/>
      <c r="L80" s="130"/>
      <c r="M80" s="260"/>
      <c r="N80" s="129"/>
      <c r="O80" s="129"/>
      <c r="P80" s="240">
        <f t="shared" ref="P80:P103" si="66">N80+O80</f>
        <v>0</v>
      </c>
      <c r="Q80" s="261"/>
      <c r="R80" s="155"/>
      <c r="S80" s="262"/>
      <c r="T80" s="132"/>
      <c r="U80" s="217"/>
      <c r="V80" s="263"/>
      <c r="W80" s="134"/>
      <c r="X80" s="165"/>
      <c r="Y80" s="166"/>
      <c r="Z80" s="145"/>
      <c r="AA80" s="264"/>
      <c r="AB80" s="134"/>
      <c r="AC80" s="166"/>
      <c r="AD80" s="145"/>
      <c r="AE80" s="264"/>
      <c r="AF80" s="134"/>
      <c r="AH80" s="145"/>
      <c r="AI80" s="264"/>
      <c r="AJ80" s="134"/>
    </row>
    <row r="81" spans="1:36" s="161" customFormat="1" ht="13.45" hidden="1" customHeight="1" outlineLevel="1" x14ac:dyDescent="0.35">
      <c r="A81" s="121" t="s">
        <v>141</v>
      </c>
      <c r="B81" s="121" t="s">
        <v>142</v>
      </c>
      <c r="D81" s="122"/>
      <c r="E81" s="162"/>
      <c r="F81" s="163"/>
      <c r="G81" s="265"/>
      <c r="H81" s="151">
        <v>9600</v>
      </c>
      <c r="I81" s="152">
        <v>9600</v>
      </c>
      <c r="J81" s="153">
        <f>I81-H81</f>
        <v>0</v>
      </c>
      <c r="K81" s="142">
        <v>9600</v>
      </c>
      <c r="L81" s="130"/>
      <c r="M81" s="260"/>
      <c r="N81" s="142">
        <f>K81+M81+L81</f>
        <v>9600</v>
      </c>
      <c r="O81" s="142"/>
      <c r="P81" s="240">
        <f t="shared" si="66"/>
        <v>9600</v>
      </c>
      <c r="Q81" s="113">
        <v>136876.89000000001</v>
      </c>
      <c r="R81" s="155">
        <f>'[1]Salary Projections'!W17-'[1]Operating Results'!Q81</f>
        <v>56194.788</v>
      </c>
      <c r="S81" s="155">
        <f>SUM(Q81:R81)</f>
        <v>193071.67800000001</v>
      </c>
      <c r="T81" s="132">
        <f t="shared" ref="T81:T84" si="67">IF(ISERR(Q81/S81),"-",Q81/S81)</f>
        <v>0.70894339044383303</v>
      </c>
      <c r="U81" s="217">
        <f t="shared" ref="U81:U89" si="68">S81-I81</f>
        <v>183471.67800000001</v>
      </c>
      <c r="V81" s="218">
        <f t="shared" si="65"/>
        <v>-183471.67800000001</v>
      </c>
      <c r="W81" s="134">
        <f>IF(ISERR(V81/P81),"-",V81/P81)</f>
        <v>-19.111633125000001</v>
      </c>
      <c r="X81" s="165"/>
      <c r="Y81" s="166"/>
      <c r="Z81" s="175">
        <f>'[1]2021-22'!C652</f>
        <v>76294.759999999995</v>
      </c>
      <c r="AA81" s="160">
        <f t="shared" ref="AA81:AA103" si="69">O81-Z81</f>
        <v>-76294.759999999995</v>
      </c>
      <c r="AB81" s="134">
        <f t="shared" ref="AB81:AB104" si="70">IF(ISERR(AA81/Z81),"-",AA81/Z81)</f>
        <v>-1</v>
      </c>
      <c r="AC81" s="166"/>
      <c r="AD81" s="175">
        <v>61599.55</v>
      </c>
      <c r="AE81" s="160">
        <f t="shared" ref="AE81:AE103" si="71">S81-AD81</f>
        <v>131472.12800000003</v>
      </c>
      <c r="AF81" s="134">
        <f t="shared" ref="AF81:AF104" si="72">IF(ISERR(AE81/AD81),"-",AE81/AD81)</f>
        <v>2.134303383709784</v>
      </c>
      <c r="AH81" s="175">
        <v>36954.75</v>
      </c>
      <c r="AI81" s="160">
        <f t="shared" ref="AI81:AI103" si="73">S81-AH81</f>
        <v>156116.92800000001</v>
      </c>
      <c r="AJ81" s="134">
        <f>IF(ISERR(AI81/AH81),"-",AI81/AH81)</f>
        <v>4.2245429342642016</v>
      </c>
    </row>
    <row r="82" spans="1:36" s="161" customFormat="1" ht="13.45" hidden="1" customHeight="1" outlineLevel="1" x14ac:dyDescent="0.35">
      <c r="A82" s="121" t="s">
        <v>143</v>
      </c>
      <c r="B82" s="121" t="s">
        <v>144</v>
      </c>
      <c r="D82" s="122"/>
      <c r="E82" s="162"/>
      <c r="F82" s="163"/>
      <c r="G82" s="265"/>
      <c r="H82" s="151">
        <v>52700</v>
      </c>
      <c r="I82" s="152">
        <v>52700</v>
      </c>
      <c r="J82" s="153">
        <f>I82-H82</f>
        <v>0</v>
      </c>
      <c r="K82" s="142">
        <v>52700</v>
      </c>
      <c r="L82" s="130"/>
      <c r="M82" s="260"/>
      <c r="N82" s="142">
        <f t="shared" ref="N82:N103" si="74">K82+M82+L82</f>
        <v>52700</v>
      </c>
      <c r="O82" s="142"/>
      <c r="P82" s="240">
        <f t="shared" si="66"/>
        <v>52700</v>
      </c>
      <c r="Q82" s="113">
        <v>95533.2</v>
      </c>
      <c r="R82" s="155">
        <v>0</v>
      </c>
      <c r="S82" s="155">
        <f>SUM(Q82:R82)</f>
        <v>95533.2</v>
      </c>
      <c r="T82" s="132">
        <f t="shared" si="67"/>
        <v>1</v>
      </c>
      <c r="U82" s="217">
        <f t="shared" si="68"/>
        <v>42833.2</v>
      </c>
      <c r="V82" s="218">
        <f t="shared" si="65"/>
        <v>-42833.2</v>
      </c>
      <c r="W82" s="134">
        <f>IF(ISERR(V82/P82),"-",V82/P82)</f>
        <v>-0.81277419354838709</v>
      </c>
      <c r="X82" s="165"/>
      <c r="Y82" s="166"/>
      <c r="Z82" s="175">
        <f>'[1]2021-22'!C653</f>
        <v>0</v>
      </c>
      <c r="AA82" s="160">
        <f t="shared" si="69"/>
        <v>0</v>
      </c>
      <c r="AB82" s="134" t="str">
        <f t="shared" si="70"/>
        <v>-</v>
      </c>
      <c r="AC82" s="166"/>
      <c r="AD82" s="175"/>
      <c r="AE82" s="160">
        <f t="shared" si="71"/>
        <v>95533.2</v>
      </c>
      <c r="AF82" s="134" t="str">
        <f t="shared" si="72"/>
        <v>-</v>
      </c>
      <c r="AH82" s="175"/>
      <c r="AI82" s="160">
        <f t="shared" si="73"/>
        <v>95533.2</v>
      </c>
      <c r="AJ82" s="134" t="str">
        <f>IF(ISERR(AI82/AH82),"-",AI82/AH82)</f>
        <v>-</v>
      </c>
    </row>
    <row r="83" spans="1:36" s="161" customFormat="1" ht="13.45" hidden="1" customHeight="1" outlineLevel="1" x14ac:dyDescent="0.35">
      <c r="A83" s="121" t="s">
        <v>145</v>
      </c>
      <c r="B83" s="121" t="s">
        <v>146</v>
      </c>
      <c r="D83" s="122"/>
      <c r="E83" s="162"/>
      <c r="F83" s="163"/>
      <c r="G83" s="265"/>
      <c r="H83" s="151"/>
      <c r="I83" s="152"/>
      <c r="J83" s="153">
        <f t="shared" ref="J83:J103" si="75">I83-H83</f>
        <v>0</v>
      </c>
      <c r="K83" s="142"/>
      <c r="L83" s="130"/>
      <c r="M83" s="260"/>
      <c r="N83" s="142">
        <f t="shared" si="74"/>
        <v>0</v>
      </c>
      <c r="O83" s="142"/>
      <c r="P83" s="240">
        <f t="shared" si="66"/>
        <v>0</v>
      </c>
      <c r="Q83" s="113">
        <v>425225.94</v>
      </c>
      <c r="R83" s="155">
        <f>'[1]Salary Projections'!W24-'[1]Operating Results'!Q83</f>
        <v>88628.38400000002</v>
      </c>
      <c r="S83" s="155">
        <f t="shared" ref="S83:S84" si="76">SUM(Q83:R83)</f>
        <v>513854.32400000002</v>
      </c>
      <c r="T83" s="132">
        <f t="shared" si="67"/>
        <v>0.82752235437061339</v>
      </c>
      <c r="U83" s="217">
        <f t="shared" si="68"/>
        <v>513854.32400000002</v>
      </c>
      <c r="V83" s="218">
        <f t="shared" si="65"/>
        <v>-513854.32400000002</v>
      </c>
      <c r="W83" s="134" t="str">
        <f>IF(ISERR(V83/P83),"-",V83/P83)</f>
        <v>-</v>
      </c>
      <c r="X83" s="165"/>
      <c r="Y83" s="166"/>
      <c r="Z83" s="175">
        <f>'[1]2021-22'!C654</f>
        <v>7821.02</v>
      </c>
      <c r="AA83" s="160">
        <f t="shared" si="69"/>
        <v>-7821.02</v>
      </c>
      <c r="AB83" s="134">
        <f t="shared" si="70"/>
        <v>-1</v>
      </c>
      <c r="AC83" s="166"/>
      <c r="AD83" s="175">
        <v>8137.58</v>
      </c>
      <c r="AE83" s="160">
        <f t="shared" si="71"/>
        <v>505716.74400000001</v>
      </c>
      <c r="AF83" s="134">
        <f t="shared" si="72"/>
        <v>62.145839918010026</v>
      </c>
      <c r="AH83" s="175">
        <v>6629.1</v>
      </c>
      <c r="AI83" s="160">
        <f t="shared" si="73"/>
        <v>507225.22400000005</v>
      </c>
      <c r="AJ83" s="134">
        <f t="shared" ref="AJ83:AJ104" si="77">IF(ISERR(AI83/AH83),"-",AI83/AH83)</f>
        <v>76.514945316860505</v>
      </c>
    </row>
    <row r="84" spans="1:36" s="161" customFormat="1" ht="13.45" hidden="1" customHeight="1" outlineLevel="1" x14ac:dyDescent="0.35">
      <c r="A84" s="121" t="s">
        <v>147</v>
      </c>
      <c r="B84" s="121" t="s">
        <v>148</v>
      </c>
      <c r="E84" s="162"/>
      <c r="F84" s="163"/>
      <c r="G84" s="164"/>
      <c r="H84" s="151">
        <f>380800+89400</f>
        <v>470200</v>
      </c>
      <c r="I84" s="152">
        <v>470200</v>
      </c>
      <c r="J84" s="153">
        <f t="shared" si="75"/>
        <v>0</v>
      </c>
      <c r="K84" s="142">
        <v>470200</v>
      </c>
      <c r="L84" s="130"/>
      <c r="M84" s="266"/>
      <c r="N84" s="142">
        <f t="shared" si="74"/>
        <v>470200</v>
      </c>
      <c r="O84" s="142">
        <v>121987.32</v>
      </c>
      <c r="P84" s="240">
        <f t="shared" si="66"/>
        <v>592187.32000000007</v>
      </c>
      <c r="Q84" s="267">
        <v>1032988.51</v>
      </c>
      <c r="R84" s="155">
        <f>'[1]Salary Projections'!W31-'[1]Operating Results'!Q84</f>
        <v>294481.56400000001</v>
      </c>
      <c r="S84" s="155">
        <f t="shared" si="76"/>
        <v>1327470.074</v>
      </c>
      <c r="T84" s="132">
        <f t="shared" si="67"/>
        <v>0.77816331247856063</v>
      </c>
      <c r="U84" s="217">
        <f t="shared" si="68"/>
        <v>857270.07400000002</v>
      </c>
      <c r="V84" s="218">
        <f t="shared" si="65"/>
        <v>-735282.75399999996</v>
      </c>
      <c r="W84" s="134">
        <f>IF(ISERR(V84/P84),"-",V84/P84)</f>
        <v>-1.2416388010469388</v>
      </c>
      <c r="X84" s="165"/>
      <c r="Y84" s="166"/>
      <c r="Z84" s="175">
        <f>'[1]2021-22'!C656</f>
        <v>1083809.1100000001</v>
      </c>
      <c r="AA84" s="160">
        <f t="shared" si="69"/>
        <v>-961821.79</v>
      </c>
      <c r="AB84" s="134">
        <f t="shared" si="70"/>
        <v>-0.88744575140173898</v>
      </c>
      <c r="AC84" s="166"/>
      <c r="AD84" s="175">
        <v>614362.74</v>
      </c>
      <c r="AE84" s="160">
        <f t="shared" si="71"/>
        <v>713107.33400000003</v>
      </c>
      <c r="AF84" s="134">
        <f t="shared" si="72"/>
        <v>1.1607268598352825</v>
      </c>
      <c r="AH84" s="175">
        <v>667022.53</v>
      </c>
      <c r="AI84" s="160">
        <f t="shared" si="73"/>
        <v>660447.54399999999</v>
      </c>
      <c r="AJ84" s="134">
        <f t="shared" si="77"/>
        <v>0.99014278273329082</v>
      </c>
    </row>
    <row r="85" spans="1:36" s="161" customFormat="1" ht="13.45" hidden="1" customHeight="1" outlineLevel="1" x14ac:dyDescent="0.45">
      <c r="A85" s="121" t="s">
        <v>149</v>
      </c>
      <c r="B85" s="121" t="s">
        <v>150</v>
      </c>
      <c r="E85" s="162"/>
      <c r="F85" s="163"/>
      <c r="G85" s="164"/>
      <c r="H85" s="151">
        <v>8300900</v>
      </c>
      <c r="I85" s="152">
        <v>8300900</v>
      </c>
      <c r="J85" s="153">
        <f t="shared" si="75"/>
        <v>0</v>
      </c>
      <c r="K85" s="142">
        <v>8300900</v>
      </c>
      <c r="L85" s="130"/>
      <c r="M85" s="266"/>
      <c r="N85" s="142">
        <f t="shared" si="74"/>
        <v>8300900</v>
      </c>
      <c r="O85" s="142"/>
      <c r="P85" s="240">
        <f t="shared" si="66"/>
        <v>8300900</v>
      </c>
      <c r="Q85" s="267">
        <v>4322086.45</v>
      </c>
      <c r="R85" s="155">
        <f>6594082-Q85+403801+100000</f>
        <v>2775796.55</v>
      </c>
      <c r="S85" s="155">
        <f t="shared" ref="S85:S102" si="78">SUM(Q85:R85)</f>
        <v>7097883</v>
      </c>
      <c r="T85" s="132">
        <f t="shared" si="64"/>
        <v>0.60892613332735979</v>
      </c>
      <c r="U85" s="217">
        <f t="shared" si="68"/>
        <v>-1203017</v>
      </c>
      <c r="V85" s="218">
        <f t="shared" si="65"/>
        <v>1203017</v>
      </c>
      <c r="W85" s="134">
        <f t="shared" ref="W85:W104" si="79">IF(ISERR(V85/P85),"-",V85/P85)</f>
        <v>0.14492609235143178</v>
      </c>
      <c r="X85" s="165"/>
      <c r="Y85" s="166"/>
      <c r="Z85" s="151">
        <f>'[1]2021-22'!C659</f>
        <v>5363315.8899999997</v>
      </c>
      <c r="AA85" s="160">
        <f t="shared" si="69"/>
        <v>-5363315.8899999997</v>
      </c>
      <c r="AB85" s="134">
        <f t="shared" si="70"/>
        <v>-1</v>
      </c>
      <c r="AC85" s="166"/>
      <c r="AD85" s="151">
        <v>5553814.2199999997</v>
      </c>
      <c r="AE85" s="160">
        <f t="shared" si="71"/>
        <v>1544068.7800000003</v>
      </c>
      <c r="AF85" s="134">
        <f t="shared" si="72"/>
        <v>0.27801952295048149</v>
      </c>
      <c r="AH85" s="151">
        <v>5796045.8399999999</v>
      </c>
      <c r="AI85" s="160">
        <f t="shared" si="73"/>
        <v>1301837.1600000001</v>
      </c>
      <c r="AJ85" s="134">
        <f t="shared" si="77"/>
        <v>0.22460780952001583</v>
      </c>
    </row>
    <row r="86" spans="1:36" ht="13.45" hidden="1" customHeight="1" outlineLevel="1" x14ac:dyDescent="0.35">
      <c r="A86" s="66" t="s">
        <v>151</v>
      </c>
      <c r="B86" s="66" t="s">
        <v>152</v>
      </c>
      <c r="E86" s="195"/>
      <c r="F86" s="196"/>
      <c r="G86" s="197"/>
      <c r="H86" s="151">
        <v>681100</v>
      </c>
      <c r="I86" s="152">
        <v>681100</v>
      </c>
      <c r="J86" s="153">
        <f t="shared" si="75"/>
        <v>0</v>
      </c>
      <c r="K86" s="142">
        <v>681100</v>
      </c>
      <c r="L86" s="130"/>
      <c r="M86" s="243"/>
      <c r="N86" s="142">
        <f t="shared" si="74"/>
        <v>681100</v>
      </c>
      <c r="O86" s="142"/>
      <c r="P86" s="240">
        <f t="shared" si="66"/>
        <v>681100</v>
      </c>
      <c r="Q86" s="256">
        <v>500894.98</v>
      </c>
      <c r="R86" s="155">
        <f>663213-Q86</f>
        <v>162318.02000000002</v>
      </c>
      <c r="S86" s="155">
        <f t="shared" si="78"/>
        <v>663213</v>
      </c>
      <c r="T86" s="156">
        <f t="shared" si="64"/>
        <v>0.75525506888435534</v>
      </c>
      <c r="U86" s="217">
        <f t="shared" si="68"/>
        <v>-17887</v>
      </c>
      <c r="V86" s="157">
        <f t="shared" si="65"/>
        <v>17887</v>
      </c>
      <c r="W86" s="227">
        <f t="shared" si="79"/>
        <v>2.6261929232124503E-2</v>
      </c>
      <c r="X86" s="173"/>
      <c r="Y86" s="174"/>
      <c r="Z86" s="175">
        <f>'[1]2021-22'!C661</f>
        <v>626236.38</v>
      </c>
      <c r="AA86" s="226">
        <f t="shared" si="69"/>
        <v>-626236.38</v>
      </c>
      <c r="AB86" s="227">
        <f t="shared" si="70"/>
        <v>-1</v>
      </c>
      <c r="AC86" s="174"/>
      <c r="AD86" s="175">
        <v>562138.17000000004</v>
      </c>
      <c r="AE86" s="226">
        <f t="shared" si="71"/>
        <v>101074.82999999996</v>
      </c>
      <c r="AF86" s="227">
        <f t="shared" si="72"/>
        <v>0.17980424634747708</v>
      </c>
      <c r="AH86" s="175">
        <v>523475.75</v>
      </c>
      <c r="AI86" s="226">
        <f t="shared" si="73"/>
        <v>139737.25</v>
      </c>
      <c r="AJ86" s="227">
        <f t="shared" si="77"/>
        <v>0.26694120978861008</v>
      </c>
    </row>
    <row r="87" spans="1:36" ht="13.45" hidden="1" customHeight="1" outlineLevel="1" x14ac:dyDescent="0.35">
      <c r="A87" s="66" t="s">
        <v>153</v>
      </c>
      <c r="B87" s="66" t="s">
        <v>154</v>
      </c>
      <c r="E87" s="195"/>
      <c r="F87" s="196"/>
      <c r="G87" s="197"/>
      <c r="H87" s="175"/>
      <c r="I87" s="152"/>
      <c r="J87" s="153">
        <f t="shared" si="75"/>
        <v>0</v>
      </c>
      <c r="K87" s="142"/>
      <c r="L87" s="130"/>
      <c r="M87" s="243"/>
      <c r="N87" s="142">
        <f t="shared" si="74"/>
        <v>0</v>
      </c>
      <c r="O87" s="142"/>
      <c r="P87" s="240">
        <f t="shared" si="66"/>
        <v>0</v>
      </c>
      <c r="Q87" s="256"/>
      <c r="R87" s="155"/>
      <c r="S87" s="155">
        <f t="shared" ref="S87" si="80">SUM(Q87:R87)</f>
        <v>0</v>
      </c>
      <c r="T87" s="156" t="str">
        <f t="shared" si="64"/>
        <v>-</v>
      </c>
      <c r="U87" s="217">
        <f t="shared" si="68"/>
        <v>0</v>
      </c>
      <c r="V87" s="157">
        <f t="shared" si="65"/>
        <v>0</v>
      </c>
      <c r="W87" s="227" t="str">
        <f t="shared" si="79"/>
        <v>-</v>
      </c>
      <c r="X87" s="173"/>
      <c r="Y87" s="174"/>
      <c r="Z87" s="175"/>
      <c r="AA87" s="226">
        <f t="shared" si="69"/>
        <v>0</v>
      </c>
      <c r="AB87" s="227" t="str">
        <f t="shared" si="70"/>
        <v>-</v>
      </c>
      <c r="AC87" s="174"/>
      <c r="AD87" s="175"/>
      <c r="AE87" s="226">
        <f t="shared" si="71"/>
        <v>0</v>
      </c>
      <c r="AF87" s="227" t="str">
        <f t="shared" si="72"/>
        <v>-</v>
      </c>
      <c r="AH87" s="175"/>
      <c r="AI87" s="226">
        <f t="shared" si="73"/>
        <v>0</v>
      </c>
      <c r="AJ87" s="227" t="str">
        <f t="shared" si="77"/>
        <v>-</v>
      </c>
    </row>
    <row r="88" spans="1:36" ht="13.45" hidden="1" customHeight="1" outlineLevel="1" x14ac:dyDescent="0.35">
      <c r="A88" s="66" t="s">
        <v>155</v>
      </c>
      <c r="B88" s="66" t="s">
        <v>156</v>
      </c>
      <c r="E88" s="195"/>
      <c r="F88" s="196"/>
      <c r="G88" s="197"/>
      <c r="H88" s="175">
        <v>1466300</v>
      </c>
      <c r="I88" s="152">
        <v>1466300</v>
      </c>
      <c r="J88" s="153">
        <f t="shared" si="75"/>
        <v>0</v>
      </c>
      <c r="K88" s="142">
        <v>1466300</v>
      </c>
      <c r="L88" s="130"/>
      <c r="M88" s="243"/>
      <c r="N88" s="142">
        <f t="shared" si="74"/>
        <v>1466300</v>
      </c>
      <c r="O88" s="142"/>
      <c r="P88" s="240">
        <f t="shared" si="66"/>
        <v>1466300</v>
      </c>
      <c r="Q88" s="256">
        <v>1136196.83</v>
      </c>
      <c r="R88" s="155">
        <f>1466300-Q88</f>
        <v>330103.16999999993</v>
      </c>
      <c r="S88" s="155">
        <f t="shared" si="78"/>
        <v>1466300</v>
      </c>
      <c r="T88" s="156">
        <f t="shared" si="64"/>
        <v>0.77487337516197241</v>
      </c>
      <c r="U88" s="217">
        <f t="shared" si="68"/>
        <v>0</v>
      </c>
      <c r="V88" s="157">
        <f t="shared" si="65"/>
        <v>0</v>
      </c>
      <c r="W88" s="227">
        <f t="shared" si="79"/>
        <v>0</v>
      </c>
      <c r="X88" s="173"/>
      <c r="Y88" s="174"/>
      <c r="Z88" s="175">
        <f>'[1]2021-22'!C663</f>
        <v>2588331.86</v>
      </c>
      <c r="AA88" s="226">
        <f t="shared" si="69"/>
        <v>-2588331.86</v>
      </c>
      <c r="AB88" s="227">
        <f t="shared" si="70"/>
        <v>-1</v>
      </c>
      <c r="AC88" s="174"/>
      <c r="AD88" s="175">
        <v>2719939.14</v>
      </c>
      <c r="AE88" s="226">
        <f t="shared" si="71"/>
        <v>-1253639.1400000001</v>
      </c>
      <c r="AF88" s="227">
        <f t="shared" si="72"/>
        <v>-0.46090705544242438</v>
      </c>
      <c r="AH88" s="175">
        <v>2713761.2</v>
      </c>
      <c r="AI88" s="226">
        <f t="shared" si="73"/>
        <v>-1247461.2000000002</v>
      </c>
      <c r="AJ88" s="227">
        <f t="shared" si="77"/>
        <v>-0.45967979791294833</v>
      </c>
    </row>
    <row r="89" spans="1:36" s="161" customFormat="1" ht="13.45" hidden="1" customHeight="1" outlineLevel="1" x14ac:dyDescent="0.45">
      <c r="A89" s="121" t="s">
        <v>157</v>
      </c>
      <c r="B89" s="121" t="s">
        <v>158</v>
      </c>
      <c r="E89" s="162"/>
      <c r="F89" s="163"/>
      <c r="G89" s="164"/>
      <c r="H89" s="151">
        <v>454000</v>
      </c>
      <c r="I89" s="152">
        <v>454000</v>
      </c>
      <c r="J89" s="153">
        <f t="shared" si="75"/>
        <v>0</v>
      </c>
      <c r="K89" s="142">
        <v>454000</v>
      </c>
      <c r="L89" s="130"/>
      <c r="M89" s="266"/>
      <c r="N89" s="142">
        <f t="shared" si="74"/>
        <v>454000</v>
      </c>
      <c r="O89" s="142"/>
      <c r="P89" s="240">
        <f t="shared" si="66"/>
        <v>454000</v>
      </c>
      <c r="Q89" s="267">
        <v>380248.67</v>
      </c>
      <c r="R89" s="155">
        <f>453190-Q89</f>
        <v>72941.330000000016</v>
      </c>
      <c r="S89" s="155">
        <f t="shared" si="78"/>
        <v>453190</v>
      </c>
      <c r="T89" s="132">
        <f t="shared" si="64"/>
        <v>0.83904911847128127</v>
      </c>
      <c r="U89" s="217">
        <f t="shared" si="68"/>
        <v>-810</v>
      </c>
      <c r="V89" s="218">
        <f t="shared" si="65"/>
        <v>810</v>
      </c>
      <c r="W89" s="134">
        <f t="shared" si="79"/>
        <v>1.7841409691629955E-3</v>
      </c>
      <c r="X89" s="165"/>
      <c r="Y89" s="166"/>
      <c r="Z89" s="151">
        <f>'[1]2021-22'!C664</f>
        <v>358692.58</v>
      </c>
      <c r="AA89" s="160">
        <f t="shared" si="69"/>
        <v>-358692.58</v>
      </c>
      <c r="AB89" s="134">
        <f t="shared" si="70"/>
        <v>-1</v>
      </c>
      <c r="AC89" s="166"/>
      <c r="AD89" s="151">
        <v>301981.32</v>
      </c>
      <c r="AE89" s="160">
        <f t="shared" si="71"/>
        <v>151208.68</v>
      </c>
      <c r="AF89" s="134">
        <f t="shared" si="72"/>
        <v>0.50072196518645584</v>
      </c>
      <c r="AH89" s="151">
        <v>262978.95</v>
      </c>
      <c r="AI89" s="160">
        <f t="shared" si="73"/>
        <v>190211.05</v>
      </c>
      <c r="AJ89" s="134">
        <f t="shared" si="77"/>
        <v>0.72329382256640684</v>
      </c>
    </row>
    <row r="90" spans="1:36" s="161" customFormat="1" ht="13.45" hidden="1" customHeight="1" outlineLevel="1" x14ac:dyDescent="0.45">
      <c r="A90" s="121" t="s">
        <v>159</v>
      </c>
      <c r="B90" s="121" t="s">
        <v>160</v>
      </c>
      <c r="E90" s="162"/>
      <c r="F90" s="163"/>
      <c r="G90" s="164"/>
      <c r="H90" s="151"/>
      <c r="I90" s="152"/>
      <c r="J90" s="153">
        <f t="shared" si="75"/>
        <v>0</v>
      </c>
      <c r="K90" s="142"/>
      <c r="L90" s="130"/>
      <c r="M90" s="266"/>
      <c r="N90" s="142">
        <f t="shared" si="74"/>
        <v>0</v>
      </c>
      <c r="O90" s="142"/>
      <c r="P90" s="240">
        <f t="shared" si="66"/>
        <v>0</v>
      </c>
      <c r="Q90" s="267"/>
      <c r="R90" s="155"/>
      <c r="S90" s="155">
        <f t="shared" si="78"/>
        <v>0</v>
      </c>
      <c r="T90" s="132" t="str">
        <f t="shared" si="64"/>
        <v>-</v>
      </c>
      <c r="U90" s="217"/>
      <c r="V90" s="218">
        <f t="shared" si="65"/>
        <v>0</v>
      </c>
      <c r="W90" s="134"/>
      <c r="X90" s="165"/>
      <c r="Y90" s="166"/>
      <c r="Z90" s="151"/>
      <c r="AA90" s="160"/>
      <c r="AB90" s="134"/>
      <c r="AC90" s="166"/>
      <c r="AD90" s="151"/>
      <c r="AE90" s="160"/>
      <c r="AF90" s="134"/>
      <c r="AH90" s="151"/>
      <c r="AI90" s="160"/>
      <c r="AJ90" s="134"/>
    </row>
    <row r="91" spans="1:36" s="161" customFormat="1" ht="13.45" hidden="1" customHeight="1" outlineLevel="1" x14ac:dyDescent="0.45">
      <c r="A91" s="121" t="s">
        <v>161</v>
      </c>
      <c r="B91" s="121" t="s">
        <v>162</v>
      </c>
      <c r="E91" s="162"/>
      <c r="F91" s="163"/>
      <c r="G91" s="164"/>
      <c r="H91" s="151"/>
      <c r="I91" s="152"/>
      <c r="J91" s="153">
        <f t="shared" si="75"/>
        <v>0</v>
      </c>
      <c r="K91" s="142"/>
      <c r="L91" s="130"/>
      <c r="M91" s="266"/>
      <c r="N91" s="142">
        <f t="shared" si="74"/>
        <v>0</v>
      </c>
      <c r="O91" s="142"/>
      <c r="P91" s="240">
        <f t="shared" si="66"/>
        <v>0</v>
      </c>
      <c r="Q91" s="267"/>
      <c r="R91" s="155"/>
      <c r="S91" s="155">
        <f t="shared" ref="S91" si="81">SUM(Q91:R91)</f>
        <v>0</v>
      </c>
      <c r="T91" s="132" t="str">
        <f t="shared" si="64"/>
        <v>-</v>
      </c>
      <c r="U91" s="217">
        <f t="shared" ref="U91:U98" si="82">S91-I91</f>
        <v>0</v>
      </c>
      <c r="V91" s="218">
        <f t="shared" si="65"/>
        <v>0</v>
      </c>
      <c r="W91" s="134" t="str">
        <f t="shared" si="79"/>
        <v>-</v>
      </c>
      <c r="X91" s="165"/>
      <c r="Y91" s="166"/>
      <c r="Z91" s="151">
        <f>'[1]2021-22'!C665</f>
        <v>29173</v>
      </c>
      <c r="AA91" s="160">
        <f t="shared" si="69"/>
        <v>-29173</v>
      </c>
      <c r="AB91" s="134">
        <f t="shared" si="70"/>
        <v>-1</v>
      </c>
      <c r="AC91" s="166"/>
      <c r="AD91" s="151"/>
      <c r="AE91" s="160">
        <f t="shared" si="71"/>
        <v>0</v>
      </c>
      <c r="AF91" s="134" t="str">
        <f t="shared" si="72"/>
        <v>-</v>
      </c>
      <c r="AH91" s="151"/>
      <c r="AI91" s="160">
        <f t="shared" si="73"/>
        <v>0</v>
      </c>
      <c r="AJ91" s="134" t="str">
        <f t="shared" si="77"/>
        <v>-</v>
      </c>
    </row>
    <row r="92" spans="1:36" ht="13.45" hidden="1" customHeight="1" outlineLevel="1" x14ac:dyDescent="0.35">
      <c r="A92" s="66" t="s">
        <v>163</v>
      </c>
      <c r="B92" s="66" t="s">
        <v>164</v>
      </c>
      <c r="E92" s="195"/>
      <c r="F92" s="196"/>
      <c r="G92" s="197"/>
      <c r="H92" s="151">
        <v>2514800</v>
      </c>
      <c r="I92" s="152">
        <v>2514800</v>
      </c>
      <c r="J92" s="153">
        <f t="shared" si="75"/>
        <v>0</v>
      </c>
      <c r="K92" s="142">
        <v>2514800</v>
      </c>
      <c r="L92" s="130"/>
      <c r="M92" s="243"/>
      <c r="N92" s="142">
        <f t="shared" si="74"/>
        <v>2514800</v>
      </c>
      <c r="O92" s="142"/>
      <c r="P92" s="240">
        <f t="shared" si="66"/>
        <v>2514800</v>
      </c>
      <c r="Q92" s="256">
        <v>1161981.73</v>
      </c>
      <c r="R92" s="155">
        <f>1850820-Q92+200000</f>
        <v>888838.27</v>
      </c>
      <c r="S92" s="155">
        <f t="shared" si="78"/>
        <v>2050820</v>
      </c>
      <c r="T92" s="156">
        <f t="shared" si="64"/>
        <v>0.56659371861011687</v>
      </c>
      <c r="U92" s="217">
        <f t="shared" si="82"/>
        <v>-463980</v>
      </c>
      <c r="V92" s="157">
        <f t="shared" si="65"/>
        <v>463980</v>
      </c>
      <c r="W92" s="227">
        <f t="shared" si="79"/>
        <v>0.18449976141243837</v>
      </c>
      <c r="X92" s="224"/>
      <c r="Y92" s="225"/>
      <c r="Z92" s="175">
        <f>'[1]2021-22'!C666</f>
        <v>928809.84</v>
      </c>
      <c r="AA92" s="226">
        <f t="shared" si="69"/>
        <v>-928809.84</v>
      </c>
      <c r="AB92" s="227">
        <f t="shared" si="70"/>
        <v>-1</v>
      </c>
      <c r="AC92" s="225"/>
      <c r="AD92" s="175">
        <v>935369.44</v>
      </c>
      <c r="AE92" s="226">
        <f t="shared" si="71"/>
        <v>1115450.56</v>
      </c>
      <c r="AF92" s="227">
        <f t="shared" si="72"/>
        <v>1.1925240576600409</v>
      </c>
      <c r="AH92" s="175">
        <v>877256.27</v>
      </c>
      <c r="AI92" s="226">
        <f t="shared" si="73"/>
        <v>1173563.73</v>
      </c>
      <c r="AJ92" s="227">
        <f t="shared" si="77"/>
        <v>1.3377661353164223</v>
      </c>
    </row>
    <row r="93" spans="1:36" ht="13.45" hidden="1" customHeight="1" outlineLevel="1" x14ac:dyDescent="0.35">
      <c r="A93" s="66" t="s">
        <v>165</v>
      </c>
      <c r="B93" s="66" t="s">
        <v>166</v>
      </c>
      <c r="E93" s="195"/>
      <c r="F93" s="196"/>
      <c r="G93" s="197"/>
      <c r="H93" s="175"/>
      <c r="I93" s="152"/>
      <c r="J93" s="153">
        <f t="shared" si="75"/>
        <v>0</v>
      </c>
      <c r="K93" s="142"/>
      <c r="L93" s="130"/>
      <c r="M93" s="243"/>
      <c r="N93" s="142">
        <f t="shared" si="74"/>
        <v>0</v>
      </c>
      <c r="O93" s="142"/>
      <c r="P93" s="240">
        <f t="shared" si="66"/>
        <v>0</v>
      </c>
      <c r="Q93" s="256"/>
      <c r="R93" s="155"/>
      <c r="S93" s="155">
        <f t="shared" si="78"/>
        <v>0</v>
      </c>
      <c r="T93" s="156" t="str">
        <f t="shared" si="64"/>
        <v>-</v>
      </c>
      <c r="U93" s="217">
        <f t="shared" si="82"/>
        <v>0</v>
      </c>
      <c r="V93" s="157">
        <f t="shared" si="65"/>
        <v>0</v>
      </c>
      <c r="W93" s="227" t="str">
        <f t="shared" si="79"/>
        <v>-</v>
      </c>
      <c r="X93" s="173"/>
      <c r="Y93" s="174"/>
      <c r="Z93" s="175">
        <f>'[1]2021-22'!C667</f>
        <v>139.9</v>
      </c>
      <c r="AA93" s="226">
        <f t="shared" si="69"/>
        <v>-139.9</v>
      </c>
      <c r="AB93" s="227">
        <f t="shared" si="70"/>
        <v>-1</v>
      </c>
      <c r="AC93" s="174"/>
      <c r="AD93" s="175">
        <v>0</v>
      </c>
      <c r="AE93" s="226">
        <f t="shared" si="71"/>
        <v>0</v>
      </c>
      <c r="AF93" s="227" t="str">
        <f t="shared" si="72"/>
        <v>-</v>
      </c>
      <c r="AH93" s="175">
        <v>4013.75</v>
      </c>
      <c r="AI93" s="226">
        <f t="shared" si="73"/>
        <v>-4013.75</v>
      </c>
      <c r="AJ93" s="227">
        <f t="shared" si="77"/>
        <v>-1</v>
      </c>
    </row>
    <row r="94" spans="1:36" s="161" customFormat="1" ht="13.45" hidden="1" customHeight="1" outlineLevel="1" x14ac:dyDescent="0.45">
      <c r="A94" s="121" t="s">
        <v>167</v>
      </c>
      <c r="B94" s="121" t="s">
        <v>168</v>
      </c>
      <c r="E94" s="162"/>
      <c r="F94" s="163"/>
      <c r="G94" s="164"/>
      <c r="H94" s="151">
        <f>283300+96800+192100</f>
        <v>572200</v>
      </c>
      <c r="I94" s="152">
        <v>572200</v>
      </c>
      <c r="J94" s="153">
        <f t="shared" si="75"/>
        <v>0</v>
      </c>
      <c r="K94" s="142">
        <v>572200</v>
      </c>
      <c r="L94" s="130"/>
      <c r="M94" s="266"/>
      <c r="N94" s="142">
        <f t="shared" si="74"/>
        <v>572200</v>
      </c>
      <c r="O94" s="142"/>
      <c r="P94" s="240">
        <f t="shared" si="66"/>
        <v>572200</v>
      </c>
      <c r="Q94" s="267">
        <v>425055.62</v>
      </c>
      <c r="R94" s="155">
        <f>'[1]Maint Veh'!N32-'[1]Operating Results'!Q94</f>
        <v>197325.17799999984</v>
      </c>
      <c r="S94" s="155">
        <f t="shared" si="78"/>
        <v>622380.79799999984</v>
      </c>
      <c r="T94" s="132">
        <f t="shared" si="64"/>
        <v>0.68295105081310703</v>
      </c>
      <c r="U94" s="217">
        <f t="shared" si="82"/>
        <v>50180.797999999835</v>
      </c>
      <c r="V94" s="218">
        <f t="shared" si="65"/>
        <v>-50180.797999999835</v>
      </c>
      <c r="W94" s="134">
        <f t="shared" si="79"/>
        <v>-8.7698004194337362E-2</v>
      </c>
      <c r="X94" s="165"/>
      <c r="Y94" s="166"/>
      <c r="Z94" s="151">
        <f>'[1]2021-22'!C668</f>
        <v>530508.67000000004</v>
      </c>
      <c r="AA94" s="160">
        <f t="shared" si="69"/>
        <v>-530508.67000000004</v>
      </c>
      <c r="AB94" s="134">
        <f t="shared" si="70"/>
        <v>-1</v>
      </c>
      <c r="AC94" s="166"/>
      <c r="AD94" s="151">
        <v>484739.73</v>
      </c>
      <c r="AE94" s="160">
        <f t="shared" si="71"/>
        <v>137641.06799999985</v>
      </c>
      <c r="AF94" s="134">
        <f t="shared" si="72"/>
        <v>0.28394839432699248</v>
      </c>
      <c r="AH94" s="151">
        <v>387901.24</v>
      </c>
      <c r="AI94" s="160">
        <f t="shared" si="73"/>
        <v>234479.55799999984</v>
      </c>
      <c r="AJ94" s="134">
        <f t="shared" si="77"/>
        <v>0.60448262037007117</v>
      </c>
    </row>
    <row r="95" spans="1:36" s="161" customFormat="1" ht="13.45" hidden="1" customHeight="1" outlineLevel="1" x14ac:dyDescent="0.45">
      <c r="A95" s="121" t="s">
        <v>169</v>
      </c>
      <c r="B95" s="121" t="s">
        <v>70</v>
      </c>
      <c r="E95" s="162"/>
      <c r="F95" s="163"/>
      <c r="G95" s="164"/>
      <c r="H95" s="151"/>
      <c r="I95" s="152"/>
      <c r="J95" s="153">
        <f t="shared" si="75"/>
        <v>0</v>
      </c>
      <c r="K95" s="142"/>
      <c r="L95" s="130"/>
      <c r="M95" s="266"/>
      <c r="N95" s="142">
        <f t="shared" si="74"/>
        <v>0</v>
      </c>
      <c r="O95" s="142"/>
      <c r="P95" s="240">
        <f t="shared" si="66"/>
        <v>0</v>
      </c>
      <c r="Q95" s="267"/>
      <c r="R95" s="155"/>
      <c r="S95" s="155">
        <f t="shared" ref="S95" si="83">SUM(Q95:R95)</f>
        <v>0</v>
      </c>
      <c r="T95" s="132" t="str">
        <f t="shared" si="64"/>
        <v>-</v>
      </c>
      <c r="U95" s="217">
        <f t="shared" si="82"/>
        <v>0</v>
      </c>
      <c r="V95" s="218">
        <f t="shared" si="65"/>
        <v>0</v>
      </c>
      <c r="W95" s="134" t="str">
        <f t="shared" si="79"/>
        <v>-</v>
      </c>
      <c r="X95" s="165"/>
      <c r="Y95" s="166"/>
      <c r="Z95" s="151"/>
      <c r="AA95" s="160">
        <f t="shared" si="69"/>
        <v>0</v>
      </c>
      <c r="AB95" s="134" t="str">
        <f t="shared" si="70"/>
        <v>-</v>
      </c>
      <c r="AC95" s="166"/>
      <c r="AD95" s="151">
        <v>144648.29000000004</v>
      </c>
      <c r="AE95" s="160">
        <f t="shared" si="71"/>
        <v>-144648.29000000004</v>
      </c>
      <c r="AF95" s="134">
        <f t="shared" si="72"/>
        <v>-1</v>
      </c>
      <c r="AH95" s="151">
        <v>115534.39999999999</v>
      </c>
      <c r="AI95" s="160">
        <f t="shared" si="73"/>
        <v>-115534.39999999999</v>
      </c>
      <c r="AJ95" s="134">
        <f t="shared" si="77"/>
        <v>-1</v>
      </c>
    </row>
    <row r="96" spans="1:36" ht="13.45" hidden="1" customHeight="1" outlineLevel="1" x14ac:dyDescent="0.35">
      <c r="A96" s="66" t="s">
        <v>170</v>
      </c>
      <c r="B96" s="66" t="s">
        <v>171</v>
      </c>
      <c r="E96" s="195"/>
      <c r="F96" s="196"/>
      <c r="G96" s="197"/>
      <c r="H96" s="151">
        <v>1304100</v>
      </c>
      <c r="I96" s="152">
        <v>1304100</v>
      </c>
      <c r="J96" s="153">
        <f t="shared" si="75"/>
        <v>0</v>
      </c>
      <c r="K96" s="142">
        <v>1304100</v>
      </c>
      <c r="L96" s="130"/>
      <c r="M96" s="243"/>
      <c r="N96" s="142">
        <f t="shared" si="74"/>
        <v>1304100</v>
      </c>
      <c r="O96" s="142"/>
      <c r="P96" s="240">
        <f t="shared" si="66"/>
        <v>1304100</v>
      </c>
      <c r="Q96" s="256">
        <v>488755.82</v>
      </c>
      <c r="R96" s="155">
        <f>'[1]Heating Fuel'!AC33-'[1]Operating Results'!Q96</f>
        <v>288851.54144632007</v>
      </c>
      <c r="S96" s="155">
        <f t="shared" si="78"/>
        <v>777607.36144632008</v>
      </c>
      <c r="T96" s="156">
        <f t="shared" si="64"/>
        <v>0.62853805690693665</v>
      </c>
      <c r="U96" s="217">
        <f t="shared" si="82"/>
        <v>-526492.63855367992</v>
      </c>
      <c r="V96" s="157">
        <f t="shared" si="65"/>
        <v>526492.63855367992</v>
      </c>
      <c r="W96" s="227">
        <f t="shared" si="79"/>
        <v>0.40372106322650098</v>
      </c>
      <c r="X96" s="224"/>
      <c r="Y96" s="225"/>
      <c r="Z96" s="175">
        <f>'[1]2021-22'!C679</f>
        <v>905648.16</v>
      </c>
      <c r="AA96" s="226">
        <f t="shared" si="69"/>
        <v>-905648.16</v>
      </c>
      <c r="AB96" s="227">
        <f t="shared" si="70"/>
        <v>-1</v>
      </c>
      <c r="AC96" s="225"/>
      <c r="AD96" s="175">
        <v>798100.49</v>
      </c>
      <c r="AE96" s="226">
        <f t="shared" si="71"/>
        <v>-20493.128553679911</v>
      </c>
      <c r="AF96" s="227">
        <f t="shared" si="72"/>
        <v>-2.5677378739211037E-2</v>
      </c>
      <c r="AH96" s="175">
        <v>802145.7</v>
      </c>
      <c r="AI96" s="226">
        <f t="shared" si="73"/>
        <v>-24538.338553679874</v>
      </c>
      <c r="AJ96" s="227">
        <f t="shared" si="77"/>
        <v>-3.0590874642449466E-2</v>
      </c>
    </row>
    <row r="97" spans="1:36" ht="13.45" hidden="1" customHeight="1" outlineLevel="1" x14ac:dyDescent="0.35">
      <c r="A97" s="66" t="s">
        <v>172</v>
      </c>
      <c r="B97" s="66" t="s">
        <v>173</v>
      </c>
      <c r="E97" s="195"/>
      <c r="F97" s="196"/>
      <c r="G97" s="197"/>
      <c r="H97" s="151">
        <v>578100</v>
      </c>
      <c r="I97" s="152">
        <v>578100</v>
      </c>
      <c r="J97" s="153">
        <f t="shared" si="75"/>
        <v>0</v>
      </c>
      <c r="K97" s="142">
        <v>578100</v>
      </c>
      <c r="L97" s="130"/>
      <c r="M97" s="243"/>
      <c r="N97" s="142">
        <f t="shared" si="74"/>
        <v>578100</v>
      </c>
      <c r="O97" s="142"/>
      <c r="P97" s="240">
        <f t="shared" si="66"/>
        <v>578100</v>
      </c>
      <c r="Q97" s="256">
        <v>336159.16</v>
      </c>
      <c r="R97" s="155">
        <f>'[1]Natural Gas'!N373-'[1]Operating Results'!Q97</f>
        <v>302632.51445629034</v>
      </c>
      <c r="S97" s="155">
        <f t="shared" ref="S97:S100" si="84">SUM(Q97:R97)</f>
        <v>638791.67445629032</v>
      </c>
      <c r="T97" s="156">
        <f t="shared" si="64"/>
        <v>0.52624223740255061</v>
      </c>
      <c r="U97" s="217">
        <f t="shared" si="82"/>
        <v>60691.674456290319</v>
      </c>
      <c r="V97" s="157">
        <f t="shared" si="65"/>
        <v>-60691.674456290319</v>
      </c>
      <c r="W97" s="227">
        <f t="shared" si="79"/>
        <v>-0.10498473353449285</v>
      </c>
      <c r="X97" s="224"/>
      <c r="Y97" s="225"/>
      <c r="Z97" s="175">
        <f>'[1]2021-22'!C680</f>
        <v>711096.23</v>
      </c>
      <c r="AA97" s="226">
        <f t="shared" si="69"/>
        <v>-711096.23</v>
      </c>
      <c r="AB97" s="227">
        <f t="shared" si="70"/>
        <v>-1</v>
      </c>
      <c r="AC97" s="225"/>
      <c r="AD97" s="175">
        <v>1055481.8799999999</v>
      </c>
      <c r="AE97" s="226">
        <f t="shared" si="71"/>
        <v>-416690.20554370957</v>
      </c>
      <c r="AF97" s="227">
        <f t="shared" si="72"/>
        <v>-0.39478669737438754</v>
      </c>
      <c r="AH97" s="175">
        <v>832094.44</v>
      </c>
      <c r="AI97" s="226">
        <f t="shared" si="73"/>
        <v>-193302.76554370963</v>
      </c>
      <c r="AJ97" s="227">
        <f t="shared" si="77"/>
        <v>-0.23230868547049735</v>
      </c>
    </row>
    <row r="98" spans="1:36" ht="13.45" hidden="1" customHeight="1" outlineLevel="1" x14ac:dyDescent="0.35">
      <c r="A98" s="66" t="s">
        <v>174</v>
      </c>
      <c r="B98" s="66" t="s">
        <v>175</v>
      </c>
      <c r="E98" s="195"/>
      <c r="F98" s="196"/>
      <c r="G98" s="197"/>
      <c r="H98" s="151">
        <v>177900</v>
      </c>
      <c r="I98" s="152">
        <v>177900</v>
      </c>
      <c r="J98" s="153">
        <f t="shared" si="75"/>
        <v>0</v>
      </c>
      <c r="K98" s="142">
        <v>177900</v>
      </c>
      <c r="L98" s="130"/>
      <c r="M98" s="243">
        <v>121000</v>
      </c>
      <c r="N98" s="142">
        <f t="shared" si="74"/>
        <v>298900</v>
      </c>
      <c r="O98" s="142"/>
      <c r="P98" s="240">
        <f t="shared" si="66"/>
        <v>298900</v>
      </c>
      <c r="Q98" s="256">
        <v>69386.490000000005</v>
      </c>
      <c r="R98" s="155">
        <f>121775-Q98</f>
        <v>52388.509999999995</v>
      </c>
      <c r="S98" s="155">
        <f t="shared" si="84"/>
        <v>121775</v>
      </c>
      <c r="T98" s="156">
        <f t="shared" si="64"/>
        <v>0.56979256826113733</v>
      </c>
      <c r="U98" s="217">
        <f t="shared" si="82"/>
        <v>-56125</v>
      </c>
      <c r="V98" s="157">
        <f t="shared" si="65"/>
        <v>177125</v>
      </c>
      <c r="W98" s="227">
        <f t="shared" si="79"/>
        <v>0.59258949481431922</v>
      </c>
      <c r="X98" s="224"/>
      <c r="Y98" s="225"/>
      <c r="Z98" s="175">
        <f>'[1]2021-22'!C681</f>
        <v>48494.62</v>
      </c>
      <c r="AA98" s="226">
        <f t="shared" si="69"/>
        <v>-48494.62</v>
      </c>
      <c r="AB98" s="227">
        <f t="shared" si="70"/>
        <v>-1</v>
      </c>
      <c r="AC98" s="225"/>
      <c r="AD98" s="175">
        <v>57035.69</v>
      </c>
      <c r="AE98" s="226">
        <f t="shared" si="71"/>
        <v>64739.31</v>
      </c>
      <c r="AF98" s="227">
        <f t="shared" si="72"/>
        <v>1.1350666573859278</v>
      </c>
      <c r="AH98" s="175">
        <v>48283.61</v>
      </c>
      <c r="AI98" s="226">
        <f t="shared" si="73"/>
        <v>73491.39</v>
      </c>
      <c r="AJ98" s="227">
        <f t="shared" si="77"/>
        <v>1.5220773674545047</v>
      </c>
    </row>
    <row r="99" spans="1:36" ht="13.45" hidden="1" customHeight="1" outlineLevel="1" x14ac:dyDescent="0.35">
      <c r="A99" s="66" t="s">
        <v>176</v>
      </c>
      <c r="B99" s="66" t="s">
        <v>177</v>
      </c>
      <c r="E99" s="195"/>
      <c r="F99" s="196"/>
      <c r="G99" s="197"/>
      <c r="H99" s="151"/>
      <c r="I99" s="152"/>
      <c r="J99" s="153">
        <f t="shared" si="75"/>
        <v>0</v>
      </c>
      <c r="K99" s="142"/>
      <c r="L99" s="130"/>
      <c r="M99" s="243"/>
      <c r="N99" s="142">
        <f t="shared" si="74"/>
        <v>0</v>
      </c>
      <c r="O99" s="142"/>
      <c r="P99" s="240">
        <f t="shared" si="66"/>
        <v>0</v>
      </c>
      <c r="Q99" s="256"/>
      <c r="R99" s="155"/>
      <c r="S99" s="155">
        <f t="shared" si="84"/>
        <v>0</v>
      </c>
      <c r="T99" s="156"/>
      <c r="U99" s="217"/>
      <c r="V99" s="157">
        <f t="shared" si="65"/>
        <v>0</v>
      </c>
      <c r="W99" s="227"/>
      <c r="X99" s="224"/>
      <c r="Y99" s="225"/>
      <c r="Z99" s="175"/>
      <c r="AA99" s="226"/>
      <c r="AB99" s="227"/>
      <c r="AC99" s="225"/>
      <c r="AD99" s="175"/>
      <c r="AE99" s="226"/>
      <c r="AF99" s="227"/>
      <c r="AH99" s="175"/>
      <c r="AI99" s="226"/>
      <c r="AJ99" s="227"/>
    </row>
    <row r="100" spans="1:36" ht="13.45" hidden="1" customHeight="1" outlineLevel="1" x14ac:dyDescent="0.35">
      <c r="A100" s="66" t="s">
        <v>178</v>
      </c>
      <c r="B100" s="66" t="s">
        <v>179</v>
      </c>
      <c r="E100" s="195"/>
      <c r="F100" s="196"/>
      <c r="G100" s="197"/>
      <c r="H100" s="151"/>
      <c r="I100" s="152"/>
      <c r="J100" s="153">
        <f t="shared" si="75"/>
        <v>0</v>
      </c>
      <c r="K100" s="142"/>
      <c r="L100" s="130"/>
      <c r="M100" s="243"/>
      <c r="N100" s="142">
        <f t="shared" si="74"/>
        <v>0</v>
      </c>
      <c r="O100" s="142"/>
      <c r="P100" s="240">
        <f t="shared" si="66"/>
        <v>0</v>
      </c>
      <c r="Q100" s="267">
        <v>146044.13</v>
      </c>
      <c r="R100" s="155">
        <f>260000-Q100</f>
        <v>113955.87</v>
      </c>
      <c r="S100" s="155">
        <f t="shared" si="84"/>
        <v>260000</v>
      </c>
      <c r="T100" s="156"/>
      <c r="U100" s="217"/>
      <c r="V100" s="157">
        <f t="shared" si="65"/>
        <v>-260000</v>
      </c>
      <c r="W100" s="227"/>
      <c r="X100" s="224"/>
      <c r="Y100" s="225"/>
      <c r="Z100" s="175"/>
      <c r="AA100" s="226"/>
      <c r="AB100" s="227"/>
      <c r="AC100" s="225"/>
      <c r="AD100" s="175"/>
      <c r="AE100" s="226"/>
      <c r="AF100" s="227"/>
      <c r="AH100" s="175"/>
      <c r="AI100" s="226"/>
      <c r="AJ100" s="227"/>
    </row>
    <row r="101" spans="1:36" ht="13.45" hidden="1" customHeight="1" outlineLevel="1" x14ac:dyDescent="0.4">
      <c r="A101" s="66" t="s">
        <v>180</v>
      </c>
      <c r="B101" s="66" t="s">
        <v>160</v>
      </c>
      <c r="C101" s="1"/>
      <c r="E101" s="195"/>
      <c r="F101" s="196"/>
      <c r="G101" s="197"/>
      <c r="H101" s="175">
        <v>2043200</v>
      </c>
      <c r="I101" s="152">
        <v>2043200</v>
      </c>
      <c r="J101" s="153">
        <f t="shared" si="75"/>
        <v>0</v>
      </c>
      <c r="K101" s="142">
        <v>2043200</v>
      </c>
      <c r="L101" s="130">
        <v>-252913</v>
      </c>
      <c r="M101" s="243"/>
      <c r="N101" s="142">
        <f t="shared" si="74"/>
        <v>1790287</v>
      </c>
      <c r="O101" s="142"/>
      <c r="P101" s="240">
        <f t="shared" si="66"/>
        <v>1790287</v>
      </c>
      <c r="Q101" s="256">
        <v>2092756.82</v>
      </c>
      <c r="R101" s="155">
        <f>2600000-Q101</f>
        <v>507243.17999999993</v>
      </c>
      <c r="S101" s="155">
        <f t="shared" si="78"/>
        <v>2600000</v>
      </c>
      <c r="T101" s="156">
        <f t="shared" si="64"/>
        <v>0.80490646923076925</v>
      </c>
      <c r="U101" s="217">
        <f>S101-I101</f>
        <v>556800</v>
      </c>
      <c r="V101" s="157">
        <f t="shared" si="65"/>
        <v>-809713</v>
      </c>
      <c r="W101" s="227">
        <f t="shared" si="79"/>
        <v>-0.45228111470395527</v>
      </c>
      <c r="X101" s="173"/>
      <c r="Y101" s="174"/>
      <c r="Z101" s="175">
        <f>'[1]2021-22'!C669+SUM('[1]2021-22'!C683:C684)+'[1]2021-22'!C695+'[1]2021-22'!C727</f>
        <v>1757228.4800000002</v>
      </c>
      <c r="AA101" s="226">
        <f t="shared" si="69"/>
        <v>-1757228.4800000002</v>
      </c>
      <c r="AB101" s="227">
        <f t="shared" si="70"/>
        <v>-1</v>
      </c>
      <c r="AC101" s="174"/>
      <c r="AD101" s="175">
        <v>20266.169999999998</v>
      </c>
      <c r="AE101" s="226">
        <f t="shared" si="71"/>
        <v>2579733.83</v>
      </c>
      <c r="AF101" s="227">
        <f t="shared" si="72"/>
        <v>127.29261769737451</v>
      </c>
      <c r="AH101" s="175">
        <v>2101858.7800000003</v>
      </c>
      <c r="AI101" s="226">
        <f t="shared" si="73"/>
        <v>498141.21999999974</v>
      </c>
      <c r="AJ101" s="227">
        <f t="shared" si="77"/>
        <v>0.23700032787169445</v>
      </c>
    </row>
    <row r="102" spans="1:36" ht="13.45" hidden="1" customHeight="1" outlineLevel="1" x14ac:dyDescent="0.4">
      <c r="A102" s="66" t="s">
        <v>181</v>
      </c>
      <c r="B102" s="66" t="s">
        <v>177</v>
      </c>
      <c r="C102" s="1"/>
      <c r="E102" s="195"/>
      <c r="F102" s="196"/>
      <c r="G102" s="197"/>
      <c r="H102" s="175">
        <v>544900</v>
      </c>
      <c r="I102" s="152">
        <v>544900</v>
      </c>
      <c r="J102" s="153">
        <f t="shared" si="75"/>
        <v>0</v>
      </c>
      <c r="K102" s="142">
        <v>544900</v>
      </c>
      <c r="L102" s="130">
        <v>-100000</v>
      </c>
      <c r="M102" s="243"/>
      <c r="N102" s="142">
        <f t="shared" si="74"/>
        <v>444900</v>
      </c>
      <c r="O102" s="142"/>
      <c r="P102" s="240">
        <f t="shared" si="66"/>
        <v>444900</v>
      </c>
      <c r="Q102" s="256">
        <v>746635.54</v>
      </c>
      <c r="R102" s="155">
        <f>850000-Q102</f>
        <v>103364.45999999996</v>
      </c>
      <c r="S102" s="155">
        <f t="shared" si="78"/>
        <v>850000</v>
      </c>
      <c r="T102" s="156">
        <f t="shared" si="64"/>
        <v>0.87839475294117653</v>
      </c>
      <c r="U102" s="217">
        <f>S102-I102</f>
        <v>305100</v>
      </c>
      <c r="V102" s="157">
        <f t="shared" si="65"/>
        <v>-405100</v>
      </c>
      <c r="W102" s="227">
        <f t="shared" si="79"/>
        <v>-0.91054169476286806</v>
      </c>
      <c r="X102" s="173"/>
      <c r="Y102" s="174"/>
      <c r="Z102" s="175">
        <f>'[1]2021-22'!C733</f>
        <v>430094.73</v>
      </c>
      <c r="AA102" s="226">
        <f t="shared" si="69"/>
        <v>-430094.73</v>
      </c>
      <c r="AB102" s="227">
        <f t="shared" si="70"/>
        <v>-1</v>
      </c>
      <c r="AC102" s="174"/>
      <c r="AD102" s="175">
        <v>2524.29</v>
      </c>
      <c r="AE102" s="226">
        <f t="shared" si="71"/>
        <v>847475.71</v>
      </c>
      <c r="AF102" s="227">
        <f t="shared" si="72"/>
        <v>335.72834737688618</v>
      </c>
      <c r="AH102" s="175">
        <v>420141.42000000004</v>
      </c>
      <c r="AI102" s="226">
        <f t="shared" si="73"/>
        <v>429858.57999999996</v>
      </c>
      <c r="AJ102" s="227">
        <f t="shared" si="77"/>
        <v>1.0231283076065196</v>
      </c>
    </row>
    <row r="103" spans="1:36" ht="13.45" hidden="1" customHeight="1" outlineLevel="1" x14ac:dyDescent="0.4">
      <c r="A103" s="66" t="s">
        <v>182</v>
      </c>
      <c r="B103" s="66" t="s">
        <v>183</v>
      </c>
      <c r="C103" s="1"/>
      <c r="E103" s="195"/>
      <c r="F103" s="196"/>
      <c r="G103" s="197"/>
      <c r="H103" s="151"/>
      <c r="I103" s="152"/>
      <c r="J103" s="153">
        <f t="shared" si="75"/>
        <v>0</v>
      </c>
      <c r="K103" s="142"/>
      <c r="L103" s="130"/>
      <c r="M103" s="243"/>
      <c r="N103" s="142">
        <f t="shared" si="74"/>
        <v>0</v>
      </c>
      <c r="O103" s="142"/>
      <c r="P103" s="240">
        <f t="shared" si="66"/>
        <v>0</v>
      </c>
      <c r="Q103" s="256">
        <v>414889.22</v>
      </c>
      <c r="R103" s="155">
        <f>P103-Q103</f>
        <v>-414889.22</v>
      </c>
      <c r="S103" s="155">
        <f t="shared" ref="S103" si="85">SUM(Q103:R103)</f>
        <v>0</v>
      </c>
      <c r="T103" s="156" t="str">
        <f t="shared" si="64"/>
        <v>-</v>
      </c>
      <c r="U103" s="217">
        <f>S103-I103</f>
        <v>0</v>
      </c>
      <c r="V103" s="157">
        <f t="shared" si="65"/>
        <v>0</v>
      </c>
      <c r="W103" s="227" t="str">
        <f t="shared" si="79"/>
        <v>-</v>
      </c>
      <c r="X103" s="173"/>
      <c r="Y103" s="174"/>
      <c r="Z103" s="175">
        <f>'[1]2021-22'!C737-'[1]2021-22'!C733+'[1]2021-22'!C748+'[1]2021-22'!C754+'[1]2021-22'!C759</f>
        <v>161091.31</v>
      </c>
      <c r="AA103" s="226">
        <f t="shared" si="69"/>
        <v>-161091.31</v>
      </c>
      <c r="AB103" s="227">
        <f t="shared" si="70"/>
        <v>-1</v>
      </c>
      <c r="AC103" s="174"/>
      <c r="AD103" s="175">
        <v>2558179.1799999997</v>
      </c>
      <c r="AE103" s="226">
        <f t="shared" si="71"/>
        <v>-2558179.1799999997</v>
      </c>
      <c r="AF103" s="227">
        <f t="shared" si="72"/>
        <v>-1</v>
      </c>
      <c r="AH103" s="175">
        <v>122971</v>
      </c>
      <c r="AI103" s="226">
        <f t="shared" si="73"/>
        <v>-122971</v>
      </c>
      <c r="AJ103" s="227">
        <f t="shared" si="77"/>
        <v>-1</v>
      </c>
    </row>
    <row r="104" spans="1:36" ht="13.45" customHeight="1" collapsed="1" x14ac:dyDescent="0.4">
      <c r="A104" s="268" t="s">
        <v>184</v>
      </c>
      <c r="B104" s="13"/>
      <c r="E104" s="229">
        <f>E79</f>
        <v>0</v>
      </c>
      <c r="F104" s="178">
        <f>F80</f>
        <v>187.91</v>
      </c>
      <c r="G104" s="179">
        <f>G79</f>
        <v>-187.85</v>
      </c>
      <c r="H104" s="230">
        <f t="shared" ref="H104:S104" si="86">SUM(H79:H103)</f>
        <v>30694800</v>
      </c>
      <c r="I104" s="230">
        <f t="shared" si="86"/>
        <v>30694800</v>
      </c>
      <c r="J104" s="230">
        <f t="shared" si="86"/>
        <v>0</v>
      </c>
      <c r="K104" s="185">
        <f t="shared" si="86"/>
        <v>30694800</v>
      </c>
      <c r="L104" s="183">
        <f>SUM(L79:L103)</f>
        <v>-352913</v>
      </c>
      <c r="M104" s="185">
        <f t="shared" si="86"/>
        <v>121000</v>
      </c>
      <c r="N104" s="185">
        <f t="shared" si="86"/>
        <v>30462887</v>
      </c>
      <c r="O104" s="186">
        <f t="shared" si="86"/>
        <v>1581656.32</v>
      </c>
      <c r="P104" s="185">
        <f t="shared" si="86"/>
        <v>32044543.32</v>
      </c>
      <c r="Q104" s="187">
        <f t="shared" si="86"/>
        <v>24007455.690000001</v>
      </c>
      <c r="R104" s="188">
        <f t="shared" si="86"/>
        <v>7674600.8659026083</v>
      </c>
      <c r="S104" s="188">
        <f t="shared" si="86"/>
        <v>31682056.555902611</v>
      </c>
      <c r="T104" s="189">
        <f>IF(ISERR(Q104/S104),"-",Q104/S104)</f>
        <v>0.75776191004643689</v>
      </c>
      <c r="U104" s="232">
        <f>SUM(U79:U103)</f>
        <v>727256.5559026089</v>
      </c>
      <c r="V104" s="190">
        <f>SUM(V79:V103)</f>
        <v>362486.76409739116</v>
      </c>
      <c r="W104" s="191">
        <f t="shared" si="79"/>
        <v>1.1311965362637946E-2</v>
      </c>
      <c r="X104" s="192"/>
      <c r="Y104" s="174"/>
      <c r="Z104" s="193">
        <f>SUM(Z79:Z103)</f>
        <v>22059894.790000003</v>
      </c>
      <c r="AA104" s="269">
        <f>SUM(AA79:AA103)</f>
        <v>-20478238.469999999</v>
      </c>
      <c r="AB104" s="191">
        <f t="shared" si="70"/>
        <v>-0.92830172876812689</v>
      </c>
      <c r="AC104" s="174"/>
      <c r="AD104" s="193">
        <f>SUM(AD79:AD103)</f>
        <v>23307340.439999998</v>
      </c>
      <c r="AE104" s="269">
        <f>SUM(AE79:AE103)</f>
        <v>8114716.1159026101</v>
      </c>
      <c r="AF104" s="191">
        <f t="shared" si="72"/>
        <v>0.34816139305092719</v>
      </c>
      <c r="AH104" s="193">
        <v>23188843.079999998</v>
      </c>
      <c r="AI104" s="233">
        <f>SUM(AI79:AI103)</f>
        <v>8233213.4759026086</v>
      </c>
      <c r="AJ104" s="191">
        <f t="shared" si="77"/>
        <v>0.35505063566554651</v>
      </c>
    </row>
    <row r="105" spans="1:36" ht="13.45" customHeight="1" x14ac:dyDescent="0.4">
      <c r="A105" s="13"/>
      <c r="B105" s="13"/>
      <c r="E105" s="195"/>
      <c r="F105" s="196"/>
      <c r="G105" s="197"/>
      <c r="H105" s="195"/>
      <c r="K105" s="141"/>
      <c r="L105" s="130"/>
      <c r="M105" s="141"/>
      <c r="N105" s="141"/>
      <c r="O105" s="141"/>
      <c r="P105" s="141"/>
      <c r="Q105" s="113"/>
      <c r="U105" s="117"/>
      <c r="V105" s="212"/>
      <c r="W105" s="213"/>
      <c r="X105" s="173"/>
      <c r="Y105" s="174"/>
      <c r="Z105" s="113"/>
      <c r="AA105" s="118"/>
      <c r="AB105" s="119"/>
      <c r="AC105" s="174"/>
      <c r="AD105" s="113"/>
      <c r="AE105" s="118"/>
      <c r="AF105" s="119"/>
      <c r="AH105" s="113"/>
      <c r="AI105" s="118"/>
      <c r="AJ105" s="119"/>
    </row>
    <row r="106" spans="1:36" ht="13.45" customHeight="1" x14ac:dyDescent="0.4">
      <c r="A106" s="13"/>
      <c r="B106" s="13"/>
      <c r="E106" s="195"/>
      <c r="F106" s="196"/>
      <c r="G106" s="197"/>
      <c r="H106" s="270"/>
      <c r="K106" s="141"/>
      <c r="L106" s="130"/>
      <c r="M106" s="141"/>
      <c r="N106" s="141"/>
      <c r="O106" s="141"/>
      <c r="P106" s="141"/>
      <c r="Q106" s="113"/>
      <c r="U106" s="117"/>
      <c r="V106" s="212"/>
      <c r="W106" s="271"/>
      <c r="X106" s="212"/>
      <c r="Y106" s="272"/>
      <c r="Z106" s="113"/>
      <c r="AA106" s="118"/>
      <c r="AB106" s="119"/>
      <c r="AC106" s="272"/>
      <c r="AD106" s="113"/>
      <c r="AE106" s="118"/>
      <c r="AF106" s="119"/>
      <c r="AH106" s="113"/>
      <c r="AI106" s="118"/>
      <c r="AJ106" s="119"/>
    </row>
    <row r="107" spans="1:36" ht="13.45" hidden="1" customHeight="1" outlineLevel="1" x14ac:dyDescent="0.4">
      <c r="A107" s="120" t="s">
        <v>185</v>
      </c>
      <c r="B107" s="13"/>
      <c r="E107" s="195"/>
      <c r="F107" s="196"/>
      <c r="G107" s="197"/>
      <c r="H107" s="195"/>
      <c r="K107" s="141"/>
      <c r="L107" s="130"/>
      <c r="M107" s="141"/>
      <c r="N107" s="141"/>
      <c r="O107" s="141"/>
      <c r="P107" s="141"/>
      <c r="Q107" s="113"/>
      <c r="U107" s="117"/>
      <c r="V107" s="212"/>
      <c r="W107" s="213"/>
      <c r="X107" s="173"/>
      <c r="Y107" s="174"/>
      <c r="Z107" s="113"/>
      <c r="AA107" s="118"/>
      <c r="AB107" s="119"/>
      <c r="AC107" s="174"/>
      <c r="AD107" s="113"/>
      <c r="AE107" s="118"/>
      <c r="AF107" s="119"/>
      <c r="AH107" s="113"/>
      <c r="AI107" s="118"/>
      <c r="AJ107" s="119"/>
    </row>
    <row r="108" spans="1:36" ht="13.45" hidden="1" customHeight="1" outlineLevel="1" x14ac:dyDescent="0.35">
      <c r="A108" s="66" t="s">
        <v>186</v>
      </c>
      <c r="B108" s="66" t="s">
        <v>187</v>
      </c>
      <c r="D108" s="122" t="s">
        <v>50</v>
      </c>
      <c r="E108" s="123"/>
      <c r="F108" s="196">
        <v>257</v>
      </c>
      <c r="G108" s="125">
        <f t="shared" ref="G108:G109" si="87">E108-F108</f>
        <v>-257</v>
      </c>
      <c r="H108" s="237">
        <f>7957800+26600</f>
        <v>7984400</v>
      </c>
      <c r="I108" s="127">
        <v>7984400</v>
      </c>
      <c r="J108" s="140">
        <f>I108-H108</f>
        <v>0</v>
      </c>
      <c r="K108" s="129">
        <v>7984400</v>
      </c>
      <c r="L108" s="130"/>
      <c r="M108" s="245"/>
      <c r="N108" s="129">
        <f>K108+M108+L108</f>
        <v>7984400</v>
      </c>
      <c r="O108" s="129">
        <f>635041.41+423071</f>
        <v>1058112.4100000001</v>
      </c>
      <c r="P108" s="129">
        <f>N108+O108</f>
        <v>9042512.4100000001</v>
      </c>
      <c r="Q108" s="200">
        <v>6924884.9800000004</v>
      </c>
      <c r="R108" s="155">
        <f>'[1]Salary Projections'!Z10-'[1]Operating Results'!Q108</f>
        <v>1530831.5250000004</v>
      </c>
      <c r="S108" s="254">
        <f>SUM(Q108:R108)</f>
        <v>8455716.5050000008</v>
      </c>
      <c r="T108" s="156">
        <f t="shared" ref="T108:T116" si="88">IF(ISERR(Q108/S108),"-",Q108/S108)</f>
        <v>0.81895898187991578</v>
      </c>
      <c r="U108" s="217">
        <f>S108-I108</f>
        <v>471316.50500000082</v>
      </c>
      <c r="V108" s="263">
        <f t="shared" ref="V108:V115" si="89">P108-S108</f>
        <v>586795.90499999933</v>
      </c>
      <c r="W108" s="227">
        <f>IF(ISERR(V108/P108),"-",V108/P108)</f>
        <v>6.4893016276214244E-2</v>
      </c>
      <c r="X108" s="173"/>
      <c r="Y108" s="174"/>
      <c r="Z108" s="137">
        <f>'[1]2021-22'!C762</f>
        <v>5867089.8700000001</v>
      </c>
      <c r="AA108" s="255">
        <f>O108-Z108</f>
        <v>-4808977.46</v>
      </c>
      <c r="AB108" s="227">
        <f>IF(ISERR(AA108/Z108),"-",AA108/Z108)</f>
        <v>-0.81965293979722176</v>
      </c>
      <c r="AC108" s="174"/>
      <c r="AD108" s="137">
        <v>6584693.5</v>
      </c>
      <c r="AE108" s="255">
        <f>S108-AD108</f>
        <v>1871023.0050000008</v>
      </c>
      <c r="AF108" s="227">
        <f>IF(ISERR(AE108/AD108),"-",AE108/AD108)</f>
        <v>0.28414731908174629</v>
      </c>
      <c r="AH108" s="137">
        <v>6530702.9100000001</v>
      </c>
      <c r="AI108" s="255">
        <f>S108-AH108</f>
        <v>1925013.5950000007</v>
      </c>
      <c r="AJ108" s="227">
        <f t="shared" ref="AJ108" si="90">IF(ISERR(AI108/AH108),"-",AI108/AH108)</f>
        <v>0.29476361450348088</v>
      </c>
    </row>
    <row r="109" spans="1:36" ht="13.45" hidden="1" customHeight="1" outlineLevel="1" x14ac:dyDescent="0.35">
      <c r="A109" s="66"/>
      <c r="B109" s="66"/>
      <c r="D109" s="122" t="s">
        <v>51</v>
      </c>
      <c r="E109" s="123"/>
      <c r="F109" s="196">
        <f>F108</f>
        <v>257</v>
      </c>
      <c r="G109" s="125">
        <f t="shared" si="87"/>
        <v>-257</v>
      </c>
      <c r="H109" s="237"/>
      <c r="I109" s="127"/>
      <c r="J109" s="140"/>
      <c r="K109" s="129"/>
      <c r="L109" s="130"/>
      <c r="M109" s="245"/>
      <c r="N109" s="129"/>
      <c r="O109" s="129"/>
      <c r="P109" s="240">
        <f t="shared" ref="P109:P115" si="91">N109+O109</f>
        <v>0</v>
      </c>
      <c r="Q109" s="200"/>
      <c r="R109" s="155"/>
      <c r="S109" s="254"/>
      <c r="T109" s="156"/>
      <c r="U109" s="217"/>
      <c r="V109" s="263"/>
      <c r="W109" s="227"/>
      <c r="X109" s="173"/>
      <c r="Y109" s="174"/>
      <c r="Z109" s="145"/>
      <c r="AA109" s="255"/>
      <c r="AB109" s="227"/>
      <c r="AC109" s="174"/>
      <c r="AD109" s="145"/>
      <c r="AE109" s="255"/>
      <c r="AF109" s="227"/>
      <c r="AH109" s="145"/>
      <c r="AI109" s="255"/>
      <c r="AJ109" s="227"/>
    </row>
    <row r="110" spans="1:36" ht="13.45" hidden="1" customHeight="1" outlineLevel="1" x14ac:dyDescent="0.35">
      <c r="A110" s="66" t="s">
        <v>188</v>
      </c>
      <c r="B110" s="121" t="s">
        <v>142</v>
      </c>
      <c r="D110" s="122"/>
      <c r="E110" s="195"/>
      <c r="F110" s="196"/>
      <c r="G110" s="228"/>
      <c r="H110" s="151"/>
      <c r="I110" s="152"/>
      <c r="J110" s="153">
        <f>I110-H110</f>
        <v>0</v>
      </c>
      <c r="K110" s="142"/>
      <c r="L110" s="130"/>
      <c r="M110" s="245"/>
      <c r="N110" s="142">
        <f>K110+M110+L110</f>
        <v>0</v>
      </c>
      <c r="O110" s="142"/>
      <c r="P110" s="240">
        <f t="shared" si="91"/>
        <v>0</v>
      </c>
      <c r="Q110" s="200">
        <v>387728.77</v>
      </c>
      <c r="R110" s="155">
        <f>'[1]Salary Projections'!Z17-'[1]Operating Results'!Q110</f>
        <v>93926.868000000017</v>
      </c>
      <c r="S110" s="155">
        <f>SUM(Q110:R110)</f>
        <v>481655.63800000004</v>
      </c>
      <c r="T110" s="156">
        <f t="shared" si="88"/>
        <v>0.80499165671553918</v>
      </c>
      <c r="U110" s="217">
        <f t="shared" ref="U110:U115" si="92">S110-I110</f>
        <v>481655.63800000004</v>
      </c>
      <c r="V110" s="218">
        <f t="shared" si="89"/>
        <v>-481655.63800000004</v>
      </c>
      <c r="W110" s="273" t="str">
        <f t="shared" ref="W110:W116" si="93">IF(ISERR(V110/P110),"-",V110/P110)</f>
        <v>-</v>
      </c>
      <c r="X110" s="173"/>
      <c r="Y110" s="174"/>
      <c r="Z110" s="175">
        <f>'[1]2021-22'!C763</f>
        <v>114544.3</v>
      </c>
      <c r="AA110" s="221">
        <f t="shared" ref="AA110:AA115" si="94">O110-Z110</f>
        <v>-114544.3</v>
      </c>
      <c r="AB110" s="134">
        <f t="shared" ref="AB110:AB116" si="95">IF(ISERR(AA110/Z110),"-",AA110/Z110)</f>
        <v>-1</v>
      </c>
      <c r="AC110" s="174"/>
      <c r="AD110" s="175">
        <v>97369.34</v>
      </c>
      <c r="AE110" s="221">
        <f t="shared" ref="AE110:AE115" si="96">S110-AD110</f>
        <v>384286.29800000007</v>
      </c>
      <c r="AF110" s="134">
        <f t="shared" ref="AF110:AF116" si="97">IF(ISERR(AE110/AD110),"-",AE110/AD110)</f>
        <v>3.9466868934307255</v>
      </c>
      <c r="AH110" s="175">
        <v>108762.18</v>
      </c>
      <c r="AI110" s="221">
        <f t="shared" ref="AI110:AI115" si="98">S110-AH110</f>
        <v>372893.45800000004</v>
      </c>
      <c r="AJ110" s="134">
        <f t="shared" ref="AJ110:AJ116" si="99">IF(ISERR(AI110/AH110),"-",AI110/AH110)</f>
        <v>3.42852136652649</v>
      </c>
    </row>
    <row r="111" spans="1:36" ht="13.45" hidden="1" customHeight="1" outlineLevel="1" x14ac:dyDescent="0.35">
      <c r="A111" s="121" t="s">
        <v>189</v>
      </c>
      <c r="B111" s="121" t="s">
        <v>146</v>
      </c>
      <c r="D111" s="122"/>
      <c r="E111" s="195"/>
      <c r="F111" s="196"/>
      <c r="G111" s="228"/>
      <c r="H111" s="151"/>
      <c r="I111" s="152"/>
      <c r="J111" s="153">
        <f t="shared" ref="J111:J115" si="100">I111-H111</f>
        <v>0</v>
      </c>
      <c r="K111" s="142"/>
      <c r="L111" s="130"/>
      <c r="M111" s="243"/>
      <c r="N111" s="142">
        <f t="shared" ref="N111:N115" si="101">K111+M111+L111</f>
        <v>0</v>
      </c>
      <c r="O111" s="142"/>
      <c r="P111" s="240">
        <f t="shared" si="91"/>
        <v>0</v>
      </c>
      <c r="Q111" s="200">
        <v>207214.25</v>
      </c>
      <c r="R111" s="155">
        <f>'[1]Salary Projections'!Z24-'[1]Operating Results'!Q111</f>
        <v>81820.232000000018</v>
      </c>
      <c r="S111" s="155">
        <f t="shared" ref="S111:S115" si="102">SUM(Q111:R111)</f>
        <v>289034.48200000002</v>
      </c>
      <c r="T111" s="156">
        <f t="shared" si="88"/>
        <v>0.7169187861813664</v>
      </c>
      <c r="U111" s="217">
        <f t="shared" si="92"/>
        <v>289034.48200000002</v>
      </c>
      <c r="V111" s="218">
        <f t="shared" si="89"/>
        <v>-289034.48200000002</v>
      </c>
      <c r="W111" s="273" t="str">
        <f t="shared" si="93"/>
        <v>-</v>
      </c>
      <c r="X111" s="173"/>
      <c r="Y111" s="174"/>
      <c r="Z111" s="145">
        <v>0</v>
      </c>
      <c r="AA111" s="221">
        <f t="shared" si="94"/>
        <v>0</v>
      </c>
      <c r="AB111" s="134" t="str">
        <f t="shared" si="95"/>
        <v>-</v>
      </c>
      <c r="AC111" s="174"/>
      <c r="AD111" s="145">
        <v>10478.870000000001</v>
      </c>
      <c r="AE111" s="221">
        <f t="shared" si="96"/>
        <v>278555.61200000002</v>
      </c>
      <c r="AF111" s="134">
        <f t="shared" si="97"/>
        <v>26.582600223115662</v>
      </c>
      <c r="AH111" s="145">
        <v>0</v>
      </c>
      <c r="AI111" s="221">
        <f t="shared" si="98"/>
        <v>289034.48200000002</v>
      </c>
      <c r="AJ111" s="134" t="str">
        <f t="shared" si="99"/>
        <v>-</v>
      </c>
    </row>
    <row r="112" spans="1:36" ht="13.45" hidden="1" customHeight="1" outlineLevel="1" x14ac:dyDescent="0.35">
      <c r="A112" s="66" t="s">
        <v>190</v>
      </c>
      <c r="B112" s="66" t="s">
        <v>191</v>
      </c>
      <c r="E112" s="195"/>
      <c r="F112" s="196"/>
      <c r="G112" s="197"/>
      <c r="H112" s="175">
        <v>440700</v>
      </c>
      <c r="I112" s="152">
        <v>440700</v>
      </c>
      <c r="J112" s="153">
        <f t="shared" si="100"/>
        <v>0</v>
      </c>
      <c r="K112" s="142">
        <v>440700</v>
      </c>
      <c r="L112" s="130"/>
      <c r="M112" s="243"/>
      <c r="N112" s="142">
        <f t="shared" si="101"/>
        <v>440700</v>
      </c>
      <c r="O112" s="142">
        <v>98131.58</v>
      </c>
      <c r="P112" s="240">
        <f t="shared" si="91"/>
        <v>538831.57999999996</v>
      </c>
      <c r="Q112" s="256">
        <v>1015455.98</v>
      </c>
      <c r="R112" s="155">
        <f>'[1]Salary Projections'!Z31-'[1]Operating Results'!Q112</f>
        <v>253505.54499999993</v>
      </c>
      <c r="S112" s="155">
        <f t="shared" si="102"/>
        <v>1268961.5249999999</v>
      </c>
      <c r="T112" s="156">
        <f t="shared" si="88"/>
        <v>0.80022598005877288</v>
      </c>
      <c r="U112" s="217">
        <f t="shared" si="92"/>
        <v>828261.52499999991</v>
      </c>
      <c r="V112" s="218">
        <f t="shared" si="89"/>
        <v>-730129.94499999995</v>
      </c>
      <c r="W112" s="273">
        <f t="shared" si="93"/>
        <v>-1.3550244122662596</v>
      </c>
      <c r="X112" s="165"/>
      <c r="Y112" s="166"/>
      <c r="Z112" s="175">
        <f>'[1]2021-22'!C764</f>
        <v>940858.08</v>
      </c>
      <c r="AA112" s="221">
        <f t="shared" si="94"/>
        <v>-842726.5</v>
      </c>
      <c r="AB112" s="134">
        <f t="shared" si="95"/>
        <v>-0.89569991257342452</v>
      </c>
      <c r="AC112" s="166"/>
      <c r="AD112" s="175">
        <v>690877.07</v>
      </c>
      <c r="AE112" s="221">
        <f t="shared" si="96"/>
        <v>578084.45499999996</v>
      </c>
      <c r="AF112" s="134">
        <f t="shared" si="97"/>
        <v>0.83673996446285304</v>
      </c>
      <c r="AH112" s="175">
        <v>665339.5</v>
      </c>
      <c r="AI112" s="221">
        <f t="shared" si="98"/>
        <v>603622.02499999991</v>
      </c>
      <c r="AJ112" s="134">
        <f t="shared" si="99"/>
        <v>0.90723912378567617</v>
      </c>
    </row>
    <row r="113" spans="1:36" ht="13.45" hidden="1" customHeight="1" outlineLevel="1" x14ac:dyDescent="0.35">
      <c r="A113" s="66" t="s">
        <v>192</v>
      </c>
      <c r="B113" s="66" t="s">
        <v>193</v>
      </c>
      <c r="E113" s="195"/>
      <c r="F113" s="196"/>
      <c r="G113" s="197"/>
      <c r="H113" s="175">
        <v>175500</v>
      </c>
      <c r="I113" s="152">
        <v>175500</v>
      </c>
      <c r="J113" s="153">
        <f t="shared" si="100"/>
        <v>0</v>
      </c>
      <c r="K113" s="142">
        <v>175500</v>
      </c>
      <c r="L113" s="130"/>
      <c r="M113" s="243"/>
      <c r="N113" s="142">
        <f t="shared" si="101"/>
        <v>175500</v>
      </c>
      <c r="O113" s="142"/>
      <c r="P113" s="240">
        <f t="shared" si="91"/>
        <v>175500</v>
      </c>
      <c r="Q113" s="256">
        <v>60609.63</v>
      </c>
      <c r="R113" s="155">
        <f>85000-Q113</f>
        <v>24390.370000000003</v>
      </c>
      <c r="S113" s="155">
        <f t="shared" si="102"/>
        <v>85000</v>
      </c>
      <c r="T113" s="156">
        <f t="shared" si="88"/>
        <v>0.71305447058823523</v>
      </c>
      <c r="U113" s="217">
        <f t="shared" si="92"/>
        <v>-90500</v>
      </c>
      <c r="V113" s="218">
        <f t="shared" si="89"/>
        <v>90500</v>
      </c>
      <c r="W113" s="273">
        <f t="shared" si="93"/>
        <v>0.51566951566951569</v>
      </c>
      <c r="X113" s="173"/>
      <c r="Y113" s="174"/>
      <c r="Z113" s="175">
        <f>SUM('[1]2021-22'!C770:C771)</f>
        <v>44631.44</v>
      </c>
      <c r="AA113" s="221">
        <f t="shared" si="94"/>
        <v>-44631.44</v>
      </c>
      <c r="AB113" s="134">
        <f t="shared" si="95"/>
        <v>-1</v>
      </c>
      <c r="AC113" s="174"/>
      <c r="AD113" s="175">
        <v>59031.1</v>
      </c>
      <c r="AE113" s="221">
        <f t="shared" si="96"/>
        <v>25968.9</v>
      </c>
      <c r="AF113" s="134">
        <f t="shared" si="97"/>
        <v>0.43991895797300073</v>
      </c>
      <c r="AH113" s="175">
        <v>64959.88</v>
      </c>
      <c r="AI113" s="221">
        <f t="shared" si="98"/>
        <v>20040.120000000003</v>
      </c>
      <c r="AJ113" s="134">
        <f t="shared" si="99"/>
        <v>0.30849995412553105</v>
      </c>
    </row>
    <row r="114" spans="1:36" s="121" customFormat="1" ht="13.45" hidden="1" customHeight="1" outlineLevel="1" x14ac:dyDescent="0.35">
      <c r="A114" s="121" t="s">
        <v>194</v>
      </c>
      <c r="B114" s="121" t="s">
        <v>195</v>
      </c>
      <c r="E114" s="274"/>
      <c r="F114" s="275"/>
      <c r="G114" s="276"/>
      <c r="H114" s="151">
        <f>1446100+2213300+3565800</f>
        <v>7225200</v>
      </c>
      <c r="I114" s="152">
        <v>7225200</v>
      </c>
      <c r="J114" s="153">
        <f t="shared" si="100"/>
        <v>0</v>
      </c>
      <c r="K114" s="142">
        <v>7225200</v>
      </c>
      <c r="L114" s="130"/>
      <c r="M114" s="277"/>
      <c r="N114" s="142">
        <f t="shared" si="101"/>
        <v>7225200</v>
      </c>
      <c r="O114" s="142"/>
      <c r="P114" s="240">
        <f t="shared" si="91"/>
        <v>7225200</v>
      </c>
      <c r="Q114" s="278">
        <v>3855336.77</v>
      </c>
      <c r="R114" s="155">
        <f>'[1]Bus Ops'!O39-'[1]Operating Results'!Q114</f>
        <v>2995599.9799999991</v>
      </c>
      <c r="S114" s="155">
        <f t="shared" si="102"/>
        <v>6850936.7499999991</v>
      </c>
      <c r="T114" s="156">
        <f t="shared" si="88"/>
        <v>0.5627459295986057</v>
      </c>
      <c r="U114" s="217">
        <f t="shared" si="92"/>
        <v>-374263.25000000093</v>
      </c>
      <c r="V114" s="218">
        <f t="shared" si="89"/>
        <v>374263.25000000093</v>
      </c>
      <c r="W114" s="273">
        <f t="shared" si="93"/>
        <v>5.1799707966561609E-2</v>
      </c>
      <c r="X114" s="165"/>
      <c r="Y114" s="166"/>
      <c r="Z114" s="151">
        <f>'[1]2021-22'!C774</f>
        <v>5189074.3499999996</v>
      </c>
      <c r="AA114" s="221">
        <f t="shared" si="94"/>
        <v>-5189074.3499999996</v>
      </c>
      <c r="AB114" s="134">
        <f t="shared" si="95"/>
        <v>-1</v>
      </c>
      <c r="AC114" s="166"/>
      <c r="AD114" s="151">
        <v>5337755.04</v>
      </c>
      <c r="AE114" s="221">
        <f t="shared" si="96"/>
        <v>1513181.709999999</v>
      </c>
      <c r="AF114" s="134">
        <f t="shared" si="97"/>
        <v>0.28348654043891813</v>
      </c>
      <c r="AH114" s="151">
        <v>5532383.8899999997</v>
      </c>
      <c r="AI114" s="221">
        <f t="shared" si="98"/>
        <v>1318552.8599999994</v>
      </c>
      <c r="AJ114" s="134">
        <f t="shared" si="99"/>
        <v>0.23833358028233279</v>
      </c>
    </row>
    <row r="115" spans="1:36" s="121" customFormat="1" ht="13.45" hidden="1" customHeight="1" outlineLevel="1" x14ac:dyDescent="0.35">
      <c r="A115" s="121" t="s">
        <v>196</v>
      </c>
      <c r="B115" s="121" t="s">
        <v>70</v>
      </c>
      <c r="E115" s="274"/>
      <c r="F115" s="275"/>
      <c r="G115" s="276"/>
      <c r="H115" s="151"/>
      <c r="I115" s="152"/>
      <c r="J115" s="153">
        <f t="shared" si="100"/>
        <v>0</v>
      </c>
      <c r="K115" s="142"/>
      <c r="L115" s="130"/>
      <c r="M115" s="277"/>
      <c r="N115" s="142">
        <f t="shared" si="101"/>
        <v>0</v>
      </c>
      <c r="O115" s="142"/>
      <c r="P115" s="240">
        <f t="shared" si="91"/>
        <v>0</v>
      </c>
      <c r="Q115" s="278">
        <v>166432.87</v>
      </c>
      <c r="R115" s="155">
        <f>300000-Q115</f>
        <v>133567.13</v>
      </c>
      <c r="S115" s="155">
        <f t="shared" si="102"/>
        <v>300000</v>
      </c>
      <c r="T115" s="156">
        <f t="shared" si="88"/>
        <v>0.55477623333333337</v>
      </c>
      <c r="U115" s="217">
        <f t="shared" si="92"/>
        <v>300000</v>
      </c>
      <c r="V115" s="218">
        <f t="shared" si="89"/>
        <v>-300000</v>
      </c>
      <c r="W115" s="273" t="str">
        <f t="shared" si="93"/>
        <v>-</v>
      </c>
      <c r="X115" s="279"/>
      <c r="Y115" s="166"/>
      <c r="Z115" s="151">
        <f>SUM('[1]2021-22'!C765:C769)+SUM('[1]2021-22'!C772:C773)+SUM('[1]2021-22'!C775:C795)</f>
        <v>171135.62</v>
      </c>
      <c r="AA115" s="221">
        <f t="shared" si="94"/>
        <v>-171135.62</v>
      </c>
      <c r="AB115" s="134">
        <f t="shared" si="95"/>
        <v>-1</v>
      </c>
      <c r="AC115" s="166"/>
      <c r="AD115" s="151">
        <v>66721.549999999988</v>
      </c>
      <c r="AE115" s="221">
        <f t="shared" si="96"/>
        <v>233278.45</v>
      </c>
      <c r="AF115" s="134">
        <f t="shared" si="97"/>
        <v>3.4962984223238225</v>
      </c>
      <c r="AH115" s="151">
        <v>70454.89</v>
      </c>
      <c r="AI115" s="221">
        <f t="shared" si="98"/>
        <v>229545.11</v>
      </c>
      <c r="AJ115" s="134">
        <f t="shared" si="99"/>
        <v>3.2580436929218113</v>
      </c>
    </row>
    <row r="116" spans="1:36" ht="13.45" customHeight="1" collapsed="1" x14ac:dyDescent="0.4">
      <c r="A116" s="1" t="s">
        <v>197</v>
      </c>
      <c r="B116" s="13"/>
      <c r="E116" s="229">
        <f>E109</f>
        <v>0</v>
      </c>
      <c r="F116" s="178">
        <f>F109</f>
        <v>257</v>
      </c>
      <c r="G116" s="179">
        <f>G109</f>
        <v>-257</v>
      </c>
      <c r="H116" s="230">
        <f t="shared" ref="H116:S116" si="103">SUM(H108:H115)</f>
        <v>15825800</v>
      </c>
      <c r="I116" s="230">
        <f t="shared" si="103"/>
        <v>15825800</v>
      </c>
      <c r="J116" s="231">
        <f t="shared" si="103"/>
        <v>0</v>
      </c>
      <c r="K116" s="185">
        <f t="shared" si="103"/>
        <v>15825800</v>
      </c>
      <c r="L116" s="183">
        <f>SUM(L108:L115)</f>
        <v>0</v>
      </c>
      <c r="M116" s="185">
        <f t="shared" si="103"/>
        <v>0</v>
      </c>
      <c r="N116" s="185">
        <f t="shared" si="103"/>
        <v>15825800</v>
      </c>
      <c r="O116" s="186">
        <f t="shared" si="103"/>
        <v>1156243.9900000002</v>
      </c>
      <c r="P116" s="185">
        <f t="shared" si="103"/>
        <v>16982043.990000002</v>
      </c>
      <c r="Q116" s="187">
        <f t="shared" si="103"/>
        <v>12617663.25</v>
      </c>
      <c r="R116" s="188">
        <f t="shared" si="103"/>
        <v>5113641.6499999994</v>
      </c>
      <c r="S116" s="188">
        <f t="shared" si="103"/>
        <v>17731304.900000002</v>
      </c>
      <c r="T116" s="189">
        <f t="shared" si="88"/>
        <v>0.71160376075874698</v>
      </c>
      <c r="U116" s="232">
        <f>SUM(U108:U115)</f>
        <v>1905504.9</v>
      </c>
      <c r="V116" s="190">
        <f>SUM(V108:V115)</f>
        <v>-749260.90999999968</v>
      </c>
      <c r="W116" s="191">
        <f t="shared" si="93"/>
        <v>-4.4120773120197271E-2</v>
      </c>
      <c r="X116" s="192"/>
      <c r="Y116" s="174"/>
      <c r="Z116" s="193">
        <f>SUM(Z108:Z115)</f>
        <v>12327333.659999998</v>
      </c>
      <c r="AA116" s="233">
        <f>SUM(AA108:AA115)</f>
        <v>-11171089.67</v>
      </c>
      <c r="AB116" s="191">
        <f t="shared" si="95"/>
        <v>-0.90620485971335363</v>
      </c>
      <c r="AC116" s="174"/>
      <c r="AD116" s="193">
        <f>SUM(AD108:AD115)</f>
        <v>12846926.470000001</v>
      </c>
      <c r="AE116" s="233">
        <f>SUM(AE108:AE115)</f>
        <v>4884378.4300000006</v>
      </c>
      <c r="AF116" s="191">
        <f t="shared" si="97"/>
        <v>0.3801982086070117</v>
      </c>
      <c r="AH116" s="193">
        <v>12972603.25</v>
      </c>
      <c r="AI116" s="233">
        <f>SUM(AI108:AI115)</f>
        <v>4758701.6500000004</v>
      </c>
      <c r="AJ116" s="191">
        <f t="shared" si="99"/>
        <v>0.36682703990041476</v>
      </c>
    </row>
    <row r="117" spans="1:36" ht="13.45" customHeight="1" x14ac:dyDescent="0.4">
      <c r="A117" s="13"/>
      <c r="B117" s="13"/>
      <c r="E117" s="195"/>
      <c r="F117" s="196"/>
      <c r="G117" s="197"/>
      <c r="H117" s="195"/>
      <c r="K117" s="141"/>
      <c r="L117" s="130"/>
      <c r="M117" s="141"/>
      <c r="N117" s="141"/>
      <c r="O117" s="141"/>
      <c r="P117" s="141"/>
      <c r="Q117" s="113"/>
      <c r="U117" s="117"/>
      <c r="V117" s="212"/>
      <c r="W117" s="213"/>
      <c r="X117" s="173"/>
      <c r="Y117" s="174"/>
      <c r="Z117" s="113"/>
      <c r="AA117" s="118"/>
      <c r="AB117" s="119"/>
      <c r="AC117" s="174"/>
      <c r="AD117" s="113"/>
      <c r="AE117" s="118"/>
      <c r="AF117" s="119"/>
      <c r="AH117" s="113"/>
      <c r="AI117" s="118"/>
      <c r="AJ117" s="119"/>
    </row>
    <row r="118" spans="1:36" ht="13.45" customHeight="1" x14ac:dyDescent="0.4">
      <c r="A118" s="13"/>
      <c r="B118" s="13"/>
      <c r="E118" s="195"/>
      <c r="F118" s="196"/>
      <c r="G118" s="197"/>
      <c r="H118" s="195"/>
      <c r="I118" s="210"/>
      <c r="J118" s="210"/>
      <c r="K118" s="208"/>
      <c r="L118" s="130"/>
      <c r="M118" s="208"/>
      <c r="N118" s="208"/>
      <c r="O118" s="208"/>
      <c r="P118" s="208"/>
      <c r="Q118" s="209"/>
      <c r="R118" s="210"/>
      <c r="S118" s="210"/>
      <c r="T118" s="210"/>
      <c r="U118" s="211"/>
      <c r="V118" s="212"/>
      <c r="W118" s="213"/>
      <c r="X118" s="173"/>
      <c r="Y118" s="174"/>
      <c r="Z118" s="113"/>
      <c r="AA118" s="118"/>
      <c r="AB118" s="119"/>
      <c r="AC118" s="174"/>
      <c r="AD118" s="113"/>
      <c r="AE118" s="118"/>
      <c r="AF118" s="119"/>
      <c r="AH118" s="113"/>
      <c r="AI118" s="118"/>
      <c r="AJ118" s="119"/>
    </row>
    <row r="119" spans="1:36" ht="13.45" hidden="1" customHeight="1" outlineLevel="1" x14ac:dyDescent="0.4">
      <c r="A119" s="280" t="s">
        <v>198</v>
      </c>
      <c r="B119" s="13"/>
      <c r="E119" s="195"/>
      <c r="F119" s="196"/>
      <c r="G119" s="197"/>
      <c r="H119" s="195"/>
      <c r="K119" s="141"/>
      <c r="L119" s="130"/>
      <c r="M119" s="141"/>
      <c r="N119" s="141"/>
      <c r="O119" s="141"/>
      <c r="P119" s="141"/>
      <c r="Q119" s="113"/>
      <c r="U119" s="117"/>
      <c r="V119" s="212"/>
      <c r="W119" s="213"/>
      <c r="X119" s="173"/>
      <c r="Y119" s="174"/>
      <c r="Z119" s="113"/>
      <c r="AA119" s="118"/>
      <c r="AB119" s="119"/>
      <c r="AC119" s="174"/>
      <c r="AD119" s="113"/>
      <c r="AE119" s="118"/>
      <c r="AF119" s="119"/>
      <c r="AH119" s="113"/>
      <c r="AI119" s="118"/>
      <c r="AJ119" s="119"/>
    </row>
    <row r="120" spans="1:36" ht="13.45" hidden="1" customHeight="1" outlineLevel="1" x14ac:dyDescent="0.4">
      <c r="A120" s="13"/>
      <c r="B120" s="13"/>
      <c r="E120" s="195"/>
      <c r="F120" s="196"/>
      <c r="G120" s="197"/>
      <c r="H120" s="195"/>
      <c r="K120" s="141"/>
      <c r="L120" s="130"/>
      <c r="M120" s="141"/>
      <c r="N120" s="141"/>
      <c r="O120" s="141"/>
      <c r="P120" s="141"/>
      <c r="Q120" s="113"/>
      <c r="U120" s="117"/>
      <c r="V120" s="212"/>
      <c r="W120" s="213"/>
      <c r="X120" s="173"/>
      <c r="Y120" s="174"/>
      <c r="Z120" s="113"/>
      <c r="AA120" s="118"/>
      <c r="AB120" s="119"/>
      <c r="AC120" s="174"/>
      <c r="AD120" s="113"/>
      <c r="AE120" s="118"/>
      <c r="AF120" s="119"/>
      <c r="AH120" s="113"/>
      <c r="AI120" s="118"/>
      <c r="AJ120" s="119"/>
    </row>
    <row r="121" spans="1:36" ht="13.45" hidden="1" customHeight="1" outlineLevel="1" x14ac:dyDescent="0.4">
      <c r="A121" s="120" t="s">
        <v>199</v>
      </c>
      <c r="B121" s="13"/>
      <c r="E121" s="195"/>
      <c r="F121" s="196"/>
      <c r="G121" s="197"/>
      <c r="H121" s="195"/>
      <c r="K121" s="141"/>
      <c r="L121" s="130"/>
      <c r="M121" s="141"/>
      <c r="N121" s="141"/>
      <c r="O121" s="141"/>
      <c r="P121" s="141"/>
      <c r="Q121" s="113"/>
      <c r="U121" s="117"/>
      <c r="V121" s="212"/>
      <c r="W121" s="213"/>
      <c r="X121" s="173"/>
      <c r="Y121" s="174"/>
      <c r="Z121" s="113"/>
      <c r="AA121" s="118"/>
      <c r="AB121" s="119"/>
      <c r="AC121" s="174"/>
      <c r="AD121" s="113"/>
      <c r="AE121" s="118"/>
      <c r="AF121" s="119"/>
      <c r="AH121" s="113"/>
      <c r="AI121" s="118"/>
      <c r="AJ121" s="119"/>
    </row>
    <row r="122" spans="1:36" ht="13.45" hidden="1" customHeight="1" outlineLevel="1" x14ac:dyDescent="0.35">
      <c r="A122" s="66" t="s">
        <v>200</v>
      </c>
      <c r="B122" s="66" t="s">
        <v>201</v>
      </c>
      <c r="E122" s="195"/>
      <c r="F122" s="196"/>
      <c r="G122" s="125"/>
      <c r="H122" s="237">
        <v>60000</v>
      </c>
      <c r="I122" s="127">
        <v>60000</v>
      </c>
      <c r="J122" s="140">
        <f>I122-H122</f>
        <v>0</v>
      </c>
      <c r="K122" s="129">
        <v>60000</v>
      </c>
      <c r="L122" s="130"/>
      <c r="M122" s="245"/>
      <c r="N122" s="129">
        <f>K122+M122+L122</f>
        <v>60000</v>
      </c>
      <c r="O122" s="129"/>
      <c r="P122" s="129">
        <f>N122+O122</f>
        <v>60000</v>
      </c>
      <c r="Q122" s="200">
        <v>37050</v>
      </c>
      <c r="R122" s="155">
        <f>P122-Q122</f>
        <v>22950</v>
      </c>
      <c r="S122" s="254">
        <f>SUM(Q122:R122)</f>
        <v>60000</v>
      </c>
      <c r="T122" s="156">
        <f>IF(ISERR(Q122/S122),"-",Q122/S122)</f>
        <v>0.61750000000000005</v>
      </c>
      <c r="U122" s="217">
        <f>S122-I122</f>
        <v>0</v>
      </c>
      <c r="V122" s="202">
        <f t="shared" ref="V122:V123" si="104">P122-S122</f>
        <v>0</v>
      </c>
      <c r="W122" s="227">
        <f>IF(ISERR(V122/P122),"-",V122/P122)</f>
        <v>0</v>
      </c>
      <c r="X122" s="173"/>
      <c r="Y122" s="174"/>
      <c r="Z122" s="137">
        <f>'[1]2021-22'!C809</f>
        <v>40275</v>
      </c>
      <c r="AA122" s="221">
        <f>O122-Z122</f>
        <v>-40275</v>
      </c>
      <c r="AB122" s="134">
        <f>IF(ISERR(AA122/Z122),"-",AA122/Z122)</f>
        <v>-1</v>
      </c>
      <c r="AC122" s="174"/>
      <c r="AD122" s="137">
        <v>42500</v>
      </c>
      <c r="AE122" s="221">
        <f>S122-AD122</f>
        <v>17500</v>
      </c>
      <c r="AF122" s="134">
        <f>IF(ISERR(AE122/AD122),"-",AE122/AD122)</f>
        <v>0.41176470588235292</v>
      </c>
      <c r="AH122" s="137">
        <v>36505</v>
      </c>
      <c r="AI122" s="221">
        <f>S122-AH122</f>
        <v>23495</v>
      </c>
      <c r="AJ122" s="134">
        <f t="shared" ref="AJ122:AJ123" si="105">IF(ISERR(AI122/AH122),"-",AI122/AH122)</f>
        <v>0.64361046431995617</v>
      </c>
    </row>
    <row r="123" spans="1:36" ht="13.45" hidden="1" customHeight="1" outlineLevel="1" x14ac:dyDescent="0.35">
      <c r="A123" s="66" t="s">
        <v>202</v>
      </c>
      <c r="B123" s="66" t="s">
        <v>203</v>
      </c>
      <c r="E123" s="195"/>
      <c r="F123" s="196"/>
      <c r="G123" s="197"/>
      <c r="H123" s="175"/>
      <c r="I123" s="152">
        <f>50000+71000</f>
        <v>121000</v>
      </c>
      <c r="J123" s="153">
        <f>I123-H123</f>
        <v>121000</v>
      </c>
      <c r="K123" s="142"/>
      <c r="L123" s="130">
        <v>-15000</v>
      </c>
      <c r="M123" s="243"/>
      <c r="N123" s="142">
        <f>K123+M123+L123</f>
        <v>-15000</v>
      </c>
      <c r="O123" s="142">
        <f>50000+71000</f>
        <v>121000</v>
      </c>
      <c r="P123" s="281">
        <f>N123+O123</f>
        <v>106000</v>
      </c>
      <c r="Q123" s="256">
        <v>33853.519999999997</v>
      </c>
      <c r="R123" s="155">
        <f>P123-Q123-15000</f>
        <v>57146.48000000001</v>
      </c>
      <c r="S123" s="155">
        <f>SUM(Q123:R123)</f>
        <v>91000</v>
      </c>
      <c r="T123" s="156">
        <f>IF(ISERR(Q123/S123),"-",Q123/S123)</f>
        <v>0.37201670329670328</v>
      </c>
      <c r="U123" s="217">
        <f>S123-I123</f>
        <v>-30000</v>
      </c>
      <c r="V123" s="157">
        <f t="shared" si="104"/>
        <v>15000</v>
      </c>
      <c r="W123" s="227">
        <f>IF(ISERR(V123/P123),"-",V123/P123)</f>
        <v>0.14150943396226415</v>
      </c>
      <c r="X123" s="173"/>
      <c r="Y123" s="174"/>
      <c r="Z123" s="175">
        <f>SUM('[1]2021-22'!C810:C832)</f>
        <v>94925.239999999991</v>
      </c>
      <c r="AA123" s="221">
        <f>O123-Z123</f>
        <v>26074.760000000009</v>
      </c>
      <c r="AB123" s="134">
        <f>IF(ISERR(AA123/Z123),"-",AA123/Z123)</f>
        <v>0.27468732236020693</v>
      </c>
      <c r="AC123" s="174"/>
      <c r="AD123" s="175">
        <v>74164.340000000011</v>
      </c>
      <c r="AE123" s="221">
        <f>S123-AD123</f>
        <v>16835.659999999989</v>
      </c>
      <c r="AF123" s="134">
        <f>IF(ISERR(AE123/AD123),"-",AE123/AD123)</f>
        <v>0.22700478423997283</v>
      </c>
      <c r="AH123" s="175">
        <v>85613.75</v>
      </c>
      <c r="AI123" s="221">
        <f>S123-AH123</f>
        <v>5386.25</v>
      </c>
      <c r="AJ123" s="134">
        <f t="shared" si="105"/>
        <v>6.2913375479990069E-2</v>
      </c>
    </row>
    <row r="124" spans="1:36" ht="13.45" hidden="1" customHeight="1" outlineLevel="1" x14ac:dyDescent="0.4">
      <c r="A124" s="1" t="s">
        <v>204</v>
      </c>
      <c r="B124" s="13"/>
      <c r="E124" s="229">
        <f>SUM(E122:E123)</f>
        <v>0</v>
      </c>
      <c r="F124" s="178">
        <f>SUM(F122:F123)</f>
        <v>0</v>
      </c>
      <c r="G124" s="179">
        <f>SUM(G122:G123)</f>
        <v>0</v>
      </c>
      <c r="H124" s="230">
        <f>SUM(H122:H123)</f>
        <v>60000</v>
      </c>
      <c r="I124" s="230">
        <f>SUM(I122:I123)</f>
        <v>181000</v>
      </c>
      <c r="J124" s="231">
        <f t="shared" ref="J124:P124" si="106">SUM(J122:J123)</f>
        <v>121000</v>
      </c>
      <c r="K124" s="185">
        <f t="shared" si="106"/>
        <v>60000</v>
      </c>
      <c r="L124" s="183">
        <f>SUM(L122:L123)</f>
        <v>-15000</v>
      </c>
      <c r="M124" s="185">
        <f t="shared" si="106"/>
        <v>0</v>
      </c>
      <c r="N124" s="185">
        <f t="shared" si="106"/>
        <v>45000</v>
      </c>
      <c r="O124" s="253">
        <f t="shared" si="106"/>
        <v>121000</v>
      </c>
      <c r="P124" s="185">
        <f t="shared" si="106"/>
        <v>166000</v>
      </c>
      <c r="Q124" s="187">
        <f>SUM(Q122:Q123)</f>
        <v>70903.51999999999</v>
      </c>
      <c r="R124" s="188">
        <f>SUM(R122:R123)</f>
        <v>80096.48000000001</v>
      </c>
      <c r="S124" s="188">
        <f>SUM(S122:S123)</f>
        <v>151000</v>
      </c>
      <c r="T124" s="189">
        <f>IF(ISERR(Q124/S124),"-",Q124/S124)</f>
        <v>0.46955973509933768</v>
      </c>
      <c r="U124" s="232">
        <f>SUM(U122:U123)</f>
        <v>-30000</v>
      </c>
      <c r="V124" s="190">
        <f>SUM(V122:V123)</f>
        <v>15000</v>
      </c>
      <c r="W124" s="191">
        <f>IF(ISERR(V124/P124),"-",V124/P124)</f>
        <v>9.036144578313253E-2</v>
      </c>
      <c r="X124" s="192"/>
      <c r="Y124" s="174"/>
      <c r="Z124" s="193">
        <f>SUM(Z122:Z123)</f>
        <v>135200.24</v>
      </c>
      <c r="AA124" s="233">
        <f>SUM(AA122:AA123)</f>
        <v>-14200.239999999991</v>
      </c>
      <c r="AB124" s="191">
        <f>IF(ISERR(AA124/Z124),"-",AA124/Z124)</f>
        <v>-0.10503117450087361</v>
      </c>
      <c r="AC124" s="174"/>
      <c r="AD124" s="193">
        <f>SUM(AD122:AD123)</f>
        <v>116664.34000000001</v>
      </c>
      <c r="AE124" s="233">
        <f>SUM(AE122:AE123)</f>
        <v>34335.659999999989</v>
      </c>
      <c r="AF124" s="191">
        <f>IF(ISERR(AE124/AD124),"-",AE124/AD124)</f>
        <v>0.29431152655558662</v>
      </c>
      <c r="AH124" s="193">
        <v>122118.75</v>
      </c>
      <c r="AI124" s="233">
        <f>SUM(AI122:AI123)</f>
        <v>28881.25</v>
      </c>
      <c r="AJ124" s="191">
        <f>IF(ISERR(AI124/AH124),"-",AI124/AH124)</f>
        <v>0.2365013562618353</v>
      </c>
    </row>
    <row r="125" spans="1:36" ht="13.45" hidden="1" customHeight="1" outlineLevel="1" x14ac:dyDescent="0.4">
      <c r="A125" s="13"/>
      <c r="B125" s="13"/>
      <c r="E125" s="195"/>
      <c r="F125" s="196"/>
      <c r="G125" s="197"/>
      <c r="H125" s="195"/>
      <c r="K125" s="141"/>
      <c r="L125" s="130"/>
      <c r="M125" s="141"/>
      <c r="N125" s="141"/>
      <c r="O125" s="141"/>
      <c r="P125" s="141"/>
      <c r="Q125" s="113"/>
      <c r="U125" s="117"/>
      <c r="V125" s="212"/>
      <c r="W125" s="213"/>
      <c r="X125" s="173"/>
      <c r="Y125" s="174"/>
      <c r="Z125" s="113"/>
      <c r="AA125" s="118"/>
      <c r="AB125" s="119"/>
      <c r="AC125" s="174"/>
      <c r="AD125" s="113"/>
      <c r="AE125" s="118"/>
      <c r="AF125" s="119"/>
      <c r="AH125" s="113"/>
      <c r="AI125" s="118"/>
      <c r="AJ125" s="119"/>
    </row>
    <row r="126" spans="1:36" ht="13.45" hidden="1" customHeight="1" outlineLevel="1" x14ac:dyDescent="0.4">
      <c r="A126" s="120" t="s">
        <v>205</v>
      </c>
      <c r="B126" s="13"/>
      <c r="E126" s="195"/>
      <c r="F126" s="196"/>
      <c r="G126" s="197"/>
      <c r="H126" s="195"/>
      <c r="K126" s="141"/>
      <c r="L126" s="130"/>
      <c r="M126" s="141"/>
      <c r="N126" s="141"/>
      <c r="O126" s="141"/>
      <c r="P126" s="141"/>
      <c r="Q126" s="113"/>
      <c r="U126" s="117"/>
      <c r="V126" s="212"/>
      <c r="W126" s="213"/>
      <c r="X126" s="173"/>
      <c r="Y126" s="174"/>
      <c r="Z126" s="113"/>
      <c r="AA126" s="118"/>
      <c r="AB126" s="119"/>
      <c r="AC126" s="174"/>
      <c r="AD126" s="113"/>
      <c r="AE126" s="118"/>
      <c r="AF126" s="119"/>
      <c r="AH126" s="113"/>
      <c r="AI126" s="118"/>
      <c r="AJ126" s="119"/>
    </row>
    <row r="127" spans="1:36" ht="13.45" hidden="1" customHeight="1" outlineLevel="1" x14ac:dyDescent="0.6">
      <c r="A127" s="66" t="s">
        <v>206</v>
      </c>
      <c r="B127" s="66" t="s">
        <v>207</v>
      </c>
      <c r="D127" s="122" t="s">
        <v>50</v>
      </c>
      <c r="E127" s="123"/>
      <c r="F127" s="196">
        <f>104-1-3-21+1+1+1</f>
        <v>82</v>
      </c>
      <c r="G127" s="125">
        <f t="shared" ref="G127" si="107">E127-F127</f>
        <v>-82</v>
      </c>
      <c r="H127" s="237">
        <f>3677500+4853700</f>
        <v>8531200</v>
      </c>
      <c r="I127" s="127">
        <v>8531200</v>
      </c>
      <c r="J127" s="140">
        <f>I127-H127</f>
        <v>0</v>
      </c>
      <c r="K127" s="129">
        <v>8531200</v>
      </c>
      <c r="L127" s="130">
        <f>94532-349043-76053-60127-80169+46800</f>
        <v>-424060</v>
      </c>
      <c r="M127" s="282">
        <f>131000+98000</f>
        <v>229000</v>
      </c>
      <c r="N127" s="129">
        <f>K127+M127+L127</f>
        <v>8336140</v>
      </c>
      <c r="O127" s="129"/>
      <c r="P127" s="129">
        <f>N127+O127</f>
        <v>8336140</v>
      </c>
      <c r="Q127" s="200">
        <v>5519668.5</v>
      </c>
      <c r="R127" s="155">
        <f>'[1]Salary Projections'!AC10+'[1]Salary Projections'!AC17-'[1]Operating Results'!Q127</f>
        <v>2988191.9659999982</v>
      </c>
      <c r="S127" s="283">
        <f>SUM(Q127:R127)</f>
        <v>8507860.4659999982</v>
      </c>
      <c r="T127" s="156">
        <f>IF(ISERR(Q127/S127),"-",Q127/S127)</f>
        <v>0.64877280510867297</v>
      </c>
      <c r="U127" s="217">
        <f>S127-I127</f>
        <v>-23339.534000001848</v>
      </c>
      <c r="V127" s="202">
        <f t="shared" ref="V127:V131" si="108">P127-S127</f>
        <v>-171720.46599999815</v>
      </c>
      <c r="W127" s="227">
        <f>IF(ISERR(V127/P127),"-",V127/P127)</f>
        <v>-2.059951800233659E-2</v>
      </c>
      <c r="X127" s="284"/>
      <c r="Y127" s="285"/>
      <c r="Z127" s="137">
        <f>'[1]2021-22'!C837</f>
        <v>6569981.5599999996</v>
      </c>
      <c r="AA127" s="255">
        <f>O127-Z127</f>
        <v>-6569981.5599999996</v>
      </c>
      <c r="AB127" s="227">
        <f>IF(ISERR(AA127/Z127),"-",AA127/Z127)</f>
        <v>-1</v>
      </c>
      <c r="AC127" s="285"/>
      <c r="AD127" s="137">
        <v>5558286.4699999997</v>
      </c>
      <c r="AE127" s="255">
        <f>S127-AD127</f>
        <v>2949573.9959999984</v>
      </c>
      <c r="AF127" s="227">
        <f>IF(ISERR(AE127/AD127),"-",AE127/AD127)</f>
        <v>0.53066246439795295</v>
      </c>
      <c r="AH127" s="137">
        <v>5633724.96</v>
      </c>
      <c r="AI127" s="255">
        <f>S127-AH127</f>
        <v>2874135.5059999982</v>
      </c>
      <c r="AJ127" s="227">
        <f t="shared" ref="AJ127:AJ132" si="109">IF(ISERR(AI127/AH127),"-",AI127/AH127)</f>
        <v>0.51016610260647122</v>
      </c>
    </row>
    <row r="128" spans="1:36" ht="13.45" hidden="1" customHeight="1" outlineLevel="1" x14ac:dyDescent="0.6">
      <c r="A128" s="66"/>
      <c r="B128" s="66"/>
      <c r="D128" s="122" t="s">
        <v>51</v>
      </c>
      <c r="E128" s="123"/>
      <c r="F128" s="196">
        <f>F127-1</f>
        <v>81</v>
      </c>
      <c r="G128" s="125"/>
      <c r="H128" s="237"/>
      <c r="I128" s="127"/>
      <c r="J128" s="140"/>
      <c r="K128" s="129"/>
      <c r="L128" s="130"/>
      <c r="M128" s="245"/>
      <c r="N128" s="129"/>
      <c r="O128" s="129"/>
      <c r="P128" s="281">
        <f t="shared" ref="P128:P131" si="110">N128+O128</f>
        <v>0</v>
      </c>
      <c r="Q128" s="200"/>
      <c r="R128" s="155"/>
      <c r="S128" s="286"/>
      <c r="T128" s="156"/>
      <c r="U128" s="217"/>
      <c r="V128" s="202"/>
      <c r="W128" s="227"/>
      <c r="X128" s="284"/>
      <c r="Y128" s="285"/>
      <c r="Z128" s="175"/>
      <c r="AA128" s="255"/>
      <c r="AB128" s="227"/>
      <c r="AC128" s="285"/>
      <c r="AD128" s="175"/>
      <c r="AE128" s="255"/>
      <c r="AF128" s="227"/>
      <c r="AH128" s="175"/>
      <c r="AI128" s="255"/>
      <c r="AJ128" s="227"/>
    </row>
    <row r="129" spans="1:36" ht="15" hidden="1" customHeight="1" outlineLevel="1" x14ac:dyDescent="0.6">
      <c r="A129" s="66" t="s">
        <v>208</v>
      </c>
      <c r="B129" s="66" t="s">
        <v>146</v>
      </c>
      <c r="D129" s="287"/>
      <c r="E129" s="223"/>
      <c r="G129" s="125"/>
      <c r="H129" s="175"/>
      <c r="I129" s="152"/>
      <c r="J129" s="153">
        <f>I129-H129</f>
        <v>0</v>
      </c>
      <c r="K129" s="142"/>
      <c r="L129" s="130"/>
      <c r="M129" s="243"/>
      <c r="N129" s="142">
        <f>K129+M129+L129</f>
        <v>0</v>
      </c>
      <c r="O129" s="142"/>
      <c r="P129" s="281">
        <f t="shared" si="110"/>
        <v>0</v>
      </c>
      <c r="Q129" s="256">
        <f>150050.2+85732.45</f>
        <v>235782.65000000002</v>
      </c>
      <c r="R129" s="155">
        <f>'[1]Salary Projections'!AC24+'[1]Salary Projections'!AC31-'[1]Operating Results'!Q129</f>
        <v>38234.66399999999</v>
      </c>
      <c r="S129" s="155">
        <f t="shared" ref="S129:S131" si="111">SUM(Q129:R129)</f>
        <v>274017.31400000001</v>
      </c>
      <c r="T129" s="156">
        <f>IF(ISERR(Q129/S129),"-",Q129/S129)</f>
        <v>0.86046624776418335</v>
      </c>
      <c r="U129" s="217">
        <f>S129-I129</f>
        <v>274017.31400000001</v>
      </c>
      <c r="V129" s="157">
        <f t="shared" si="108"/>
        <v>-274017.31400000001</v>
      </c>
      <c r="W129" s="227" t="str">
        <f>IF(ISERR(V129/P129),"-",V129/P129)</f>
        <v>-</v>
      </c>
      <c r="X129" s="284"/>
      <c r="Y129" s="285"/>
      <c r="Z129" s="175">
        <f>'[1]2021-22'!C839</f>
        <v>32193.26</v>
      </c>
      <c r="AA129" s="226">
        <f>O129-Z129</f>
        <v>-32193.26</v>
      </c>
      <c r="AB129" s="227">
        <f>IF(ISERR(AA129/Z129),"-",AA129/Z129)</f>
        <v>-1</v>
      </c>
      <c r="AC129" s="285"/>
      <c r="AD129" s="175">
        <v>250427.85</v>
      </c>
      <c r="AE129" s="226">
        <f>S129-AD129</f>
        <v>23589.464000000007</v>
      </c>
      <c r="AF129" s="227">
        <f>IF(ISERR(AE129/AD129),"-",AE129/AD129)</f>
        <v>9.4196647856857801E-2</v>
      </c>
      <c r="AH129" s="175">
        <v>152036.57</v>
      </c>
      <c r="AI129" s="226">
        <f>S129-AH129</f>
        <v>121980.74400000001</v>
      </c>
      <c r="AJ129" s="227">
        <f t="shared" si="109"/>
        <v>0.80231186483620354</v>
      </c>
    </row>
    <row r="130" spans="1:36" ht="13.45" hidden="1" customHeight="1" outlineLevel="1" x14ac:dyDescent="0.6">
      <c r="A130" s="66" t="s">
        <v>209</v>
      </c>
      <c r="B130" s="66" t="s">
        <v>70</v>
      </c>
      <c r="D130" s="288"/>
      <c r="E130" s="195"/>
      <c r="F130" s="196"/>
      <c r="G130" s="197"/>
      <c r="H130" s="175">
        <f>3535300+114053+47400+94508+625600</f>
        <v>4416861</v>
      </c>
      <c r="I130" s="152">
        <f>4416861-1011340-200000-50000-71000-90000-95000-75000</f>
        <v>2824521</v>
      </c>
      <c r="J130" s="153">
        <f>I130-H130</f>
        <v>-1592340</v>
      </c>
      <c r="K130" s="142">
        <v>4416861</v>
      </c>
      <c r="L130" s="130">
        <f>-13500-704714-150000-15000</f>
        <v>-883214</v>
      </c>
      <c r="M130" s="243">
        <v>2070.96</v>
      </c>
      <c r="N130" s="142">
        <f t="shared" ref="N130:N131" si="112">K130+M130+L130</f>
        <v>3535717.96</v>
      </c>
      <c r="O130" s="142">
        <v>-1592340</v>
      </c>
      <c r="P130" s="281">
        <f t="shared" si="110"/>
        <v>1943377.96</v>
      </c>
      <c r="Q130" s="256">
        <v>977511.3</v>
      </c>
      <c r="R130" s="155">
        <f>1253072-Q130</f>
        <v>275560.69999999995</v>
      </c>
      <c r="S130" s="155">
        <f t="shared" si="111"/>
        <v>1253072</v>
      </c>
      <c r="T130" s="156">
        <f>IF(ISERR(Q130/S130),"-",Q130/S130)</f>
        <v>0.78009188618052283</v>
      </c>
      <c r="U130" s="217">
        <f>S130-I130</f>
        <v>-1571449</v>
      </c>
      <c r="V130" s="157">
        <f t="shared" si="108"/>
        <v>690305.96</v>
      </c>
      <c r="W130" s="227">
        <f>IF(ISERR(V130/P130),"-",V130/P130)</f>
        <v>0.35520931810917522</v>
      </c>
      <c r="X130" s="284"/>
      <c r="Y130" s="285"/>
      <c r="Z130" s="175">
        <f>'[1]2021-22'!C838+SUM('[1]2021-22'!C840:C893)</f>
        <v>1035264.6300000004</v>
      </c>
      <c r="AA130" s="226">
        <f>O130-Z130</f>
        <v>-2627604.6300000004</v>
      </c>
      <c r="AB130" s="227">
        <f>IF(ISERR(AA130/Z130),"-",AA130/Z130)</f>
        <v>-2.538099490562137</v>
      </c>
      <c r="AC130" s="285"/>
      <c r="AD130" s="175">
        <v>883838.77000000014</v>
      </c>
      <c r="AE130" s="226">
        <f>S130-AD130</f>
        <v>369233.22999999986</v>
      </c>
      <c r="AF130" s="227">
        <f>IF(ISERR(AE130/AD130),"-",AE130/AD130)</f>
        <v>0.41776084341717645</v>
      </c>
      <c r="AH130" s="175">
        <v>766308.61</v>
      </c>
      <c r="AI130" s="226">
        <f>S130-AH130</f>
        <v>486763.39</v>
      </c>
      <c r="AJ130" s="227">
        <f t="shared" si="109"/>
        <v>0.63520542983328876</v>
      </c>
    </row>
    <row r="131" spans="1:36" ht="13.45" hidden="1" customHeight="1" outlineLevel="1" x14ac:dyDescent="0.6">
      <c r="A131" s="66" t="s">
        <v>210</v>
      </c>
      <c r="B131" s="66" t="s">
        <v>211</v>
      </c>
      <c r="D131" s="288"/>
      <c r="E131" s="195"/>
      <c r="F131" s="196"/>
      <c r="G131" s="197"/>
      <c r="H131" s="289">
        <v>155700</v>
      </c>
      <c r="I131" s="152">
        <v>155700</v>
      </c>
      <c r="J131" s="153">
        <f t="shared" ref="J131" si="113">I131-H131</f>
        <v>0</v>
      </c>
      <c r="K131" s="142">
        <v>155700</v>
      </c>
      <c r="L131" s="130">
        <v>-109508</v>
      </c>
      <c r="M131" s="243"/>
      <c r="N131" s="142">
        <f t="shared" si="112"/>
        <v>46192</v>
      </c>
      <c r="O131" s="142"/>
      <c r="P131" s="281">
        <f t="shared" si="110"/>
        <v>46192</v>
      </c>
      <c r="Q131" s="256">
        <f>17772.26+17532</f>
        <v>35304.259999999995</v>
      </c>
      <c r="R131" s="155">
        <f>P131-Q131-109508</f>
        <v>-98620.26</v>
      </c>
      <c r="S131" s="155">
        <f t="shared" si="111"/>
        <v>-63316</v>
      </c>
      <c r="T131" s="156">
        <f>IF(ISERR(Q131/S131),"-",Q131/S131)</f>
        <v>-0.55758828732074028</v>
      </c>
      <c r="U131" s="217"/>
      <c r="V131" s="157">
        <f t="shared" si="108"/>
        <v>109508</v>
      </c>
      <c r="W131" s="227">
        <f>IF(ISERR(V131/P131),"-",V131/P131)</f>
        <v>2.3707135434707309</v>
      </c>
      <c r="X131" s="284"/>
      <c r="Y131" s="285"/>
      <c r="Z131" s="175"/>
      <c r="AA131" s="226"/>
      <c r="AB131" s="227"/>
      <c r="AC131" s="285"/>
      <c r="AD131" s="175"/>
      <c r="AE131" s="226"/>
      <c r="AF131" s="227"/>
      <c r="AH131" s="175"/>
      <c r="AI131" s="226"/>
      <c r="AJ131" s="227"/>
    </row>
    <row r="132" spans="1:36" ht="13.45" hidden="1" customHeight="1" outlineLevel="1" x14ac:dyDescent="0.4">
      <c r="A132" s="1" t="s">
        <v>212</v>
      </c>
      <c r="B132" s="13"/>
      <c r="D132" s="288"/>
      <c r="E132" s="229">
        <f>E127</f>
        <v>0</v>
      </c>
      <c r="F132" s="290">
        <f>F128</f>
        <v>81</v>
      </c>
      <c r="G132" s="179">
        <f>G127</f>
        <v>-82</v>
      </c>
      <c r="H132" s="230">
        <f t="shared" ref="H132:T132" si="114">SUM(H127:H131)</f>
        <v>13103761</v>
      </c>
      <c r="I132" s="230">
        <f t="shared" si="114"/>
        <v>11511421</v>
      </c>
      <c r="J132" s="230">
        <f t="shared" si="114"/>
        <v>-1592340</v>
      </c>
      <c r="K132" s="185">
        <f t="shared" si="114"/>
        <v>13103761</v>
      </c>
      <c r="L132" s="183">
        <f>SUM(L127:L131)</f>
        <v>-1416782</v>
      </c>
      <c r="M132" s="185">
        <f t="shared" si="114"/>
        <v>231070.96</v>
      </c>
      <c r="N132" s="185">
        <f t="shared" si="114"/>
        <v>11918049.960000001</v>
      </c>
      <c r="O132" s="253">
        <f t="shared" si="114"/>
        <v>-1592340</v>
      </c>
      <c r="P132" s="185">
        <f t="shared" si="114"/>
        <v>10325709.960000001</v>
      </c>
      <c r="Q132" s="187">
        <f t="shared" si="114"/>
        <v>6768266.71</v>
      </c>
      <c r="R132" s="188">
        <f t="shared" si="114"/>
        <v>3203367.0699999984</v>
      </c>
      <c r="S132" s="188">
        <f t="shared" si="114"/>
        <v>9971633.7799999975</v>
      </c>
      <c r="T132" s="230">
        <f t="shared" si="114"/>
        <v>1.7317426517326389</v>
      </c>
      <c r="U132" s="232">
        <f>SUM(U127:U130)</f>
        <v>-1320771.2200000018</v>
      </c>
      <c r="V132" s="190">
        <f>SUM(V127:V131)</f>
        <v>354076.1800000018</v>
      </c>
      <c r="W132" s="191">
        <f>IF(ISERR(V132/P132),"-",V132/P132)</f>
        <v>3.4290734619859667E-2</v>
      </c>
      <c r="X132" s="269"/>
      <c r="Y132" s="258"/>
      <c r="Z132" s="193">
        <f>SUM(Z127:Z130)</f>
        <v>7637439.4499999993</v>
      </c>
      <c r="AA132" s="233">
        <f>SUM(AA127:AA130)</f>
        <v>-9229779.4499999993</v>
      </c>
      <c r="AB132" s="191">
        <f>IF(ISERR(AA132/Z132),"-",AA132/Z132)</f>
        <v>-1.2084913419509991</v>
      </c>
      <c r="AC132" s="258"/>
      <c r="AD132" s="193">
        <f>SUM(AD127:AD130)</f>
        <v>6692553.0899999999</v>
      </c>
      <c r="AE132" s="233">
        <f>SUM(AE127:AE130)</f>
        <v>3342396.6899999985</v>
      </c>
      <c r="AF132" s="191">
        <f>IF(ISERR(AE132/AD132),"-",AE132/AD132)</f>
        <v>0.49942027280952039</v>
      </c>
      <c r="AH132" s="193">
        <v>6552070.1400000006</v>
      </c>
      <c r="AI132" s="233">
        <f>SUM(AI127:AI130)</f>
        <v>3482879.6399999983</v>
      </c>
      <c r="AJ132" s="191">
        <f t="shared" si="109"/>
        <v>0.53156934611203632</v>
      </c>
    </row>
    <row r="133" spans="1:36" ht="13.45" hidden="1" customHeight="1" outlineLevel="1" x14ac:dyDescent="0.4">
      <c r="A133" s="13"/>
      <c r="B133" s="13"/>
      <c r="E133" s="195"/>
      <c r="F133" s="196"/>
      <c r="G133" s="197"/>
      <c r="H133" s="195"/>
      <c r="K133" s="141"/>
      <c r="L133" s="130"/>
      <c r="M133" s="141"/>
      <c r="N133" s="141"/>
      <c r="O133" s="141"/>
      <c r="P133" s="141"/>
      <c r="Q133" s="113"/>
      <c r="U133" s="272"/>
      <c r="V133" s="212"/>
      <c r="W133" s="213"/>
      <c r="X133" s="173"/>
      <c r="Y133" s="174"/>
      <c r="Z133" s="113"/>
      <c r="AA133" s="291"/>
      <c r="AB133" s="119"/>
      <c r="AC133" s="174"/>
      <c r="AD133" s="113"/>
      <c r="AE133" s="291"/>
      <c r="AF133" s="119"/>
      <c r="AH133" s="113"/>
      <c r="AI133" s="291"/>
      <c r="AJ133" s="119"/>
    </row>
    <row r="134" spans="1:36" ht="13.45" customHeight="1" collapsed="1" x14ac:dyDescent="0.4">
      <c r="A134" s="268" t="s">
        <v>213</v>
      </c>
      <c r="B134" s="13"/>
      <c r="E134" s="229">
        <f t="shared" ref="E134:S134" si="115">E124+E132</f>
        <v>0</v>
      </c>
      <c r="F134" s="290">
        <f t="shared" si="115"/>
        <v>81</v>
      </c>
      <c r="G134" s="179">
        <f t="shared" si="115"/>
        <v>-82</v>
      </c>
      <c r="H134" s="230">
        <f t="shared" si="115"/>
        <v>13163761</v>
      </c>
      <c r="I134" s="230">
        <f t="shared" si="115"/>
        <v>11692421</v>
      </c>
      <c r="J134" s="231">
        <f t="shared" si="115"/>
        <v>-1471340</v>
      </c>
      <c r="K134" s="185">
        <f t="shared" si="115"/>
        <v>13163761</v>
      </c>
      <c r="L134" s="183">
        <f>L124+L132</f>
        <v>-1431782</v>
      </c>
      <c r="M134" s="185">
        <f t="shared" si="115"/>
        <v>231070.96</v>
      </c>
      <c r="N134" s="185">
        <f t="shared" si="115"/>
        <v>11963049.960000001</v>
      </c>
      <c r="O134" s="253">
        <f t="shared" si="115"/>
        <v>-1471340</v>
      </c>
      <c r="P134" s="185">
        <f t="shared" si="115"/>
        <v>10491709.960000001</v>
      </c>
      <c r="Q134" s="187">
        <f t="shared" si="115"/>
        <v>6839170.2299999995</v>
      </c>
      <c r="R134" s="188">
        <f t="shared" si="115"/>
        <v>3283463.5499999984</v>
      </c>
      <c r="S134" s="188">
        <f t="shared" si="115"/>
        <v>10122633.779999997</v>
      </c>
      <c r="T134" s="189">
        <f>IF(ISERR(Q134/S134),"-",Q134/S134)</f>
        <v>0.67563149854464077</v>
      </c>
      <c r="U134" s="232">
        <f>U124+U132</f>
        <v>-1350771.2200000018</v>
      </c>
      <c r="V134" s="190">
        <f>V124+V132</f>
        <v>369076.1800000018</v>
      </c>
      <c r="W134" s="191">
        <f>IF(ISERR(V134/P134),"-",V134/P134)</f>
        <v>3.5177886293761187E-2</v>
      </c>
      <c r="X134" s="192"/>
      <c r="Y134" s="174"/>
      <c r="Z134" s="193">
        <f>Z124+Z132</f>
        <v>7772639.6899999995</v>
      </c>
      <c r="AA134" s="233">
        <f>AA124+AA132</f>
        <v>-9243979.6899999995</v>
      </c>
      <c r="AB134" s="191">
        <f>IF(ISERR(AA134/Z134),"-",AA134/Z134)</f>
        <v>-1.1892973376719074</v>
      </c>
      <c r="AC134" s="174"/>
      <c r="AD134" s="193">
        <f>AD124+AD132</f>
        <v>6809217.4299999997</v>
      </c>
      <c r="AE134" s="233">
        <f>AE124+AE132</f>
        <v>3376732.3499999987</v>
      </c>
      <c r="AF134" s="191">
        <f>IF(ISERR(AE134/AD134),"-",AE134/AD134)</f>
        <v>0.49590608388018514</v>
      </c>
      <c r="AH134" s="193">
        <v>6674188.8900000006</v>
      </c>
      <c r="AI134" s="233">
        <f>AI124+AI132</f>
        <v>3511760.8899999983</v>
      </c>
      <c r="AJ134" s="191">
        <f>IF(ISERR(AI134/AH134),"-",AI134/AH134)</f>
        <v>0.52617043776835604</v>
      </c>
    </row>
    <row r="135" spans="1:36" ht="13.45" customHeight="1" x14ac:dyDescent="0.4">
      <c r="A135" s="13"/>
      <c r="B135" s="13"/>
      <c r="E135" s="195"/>
      <c r="F135" s="196"/>
      <c r="G135" s="292"/>
      <c r="H135" s="195"/>
      <c r="K135" s="141"/>
      <c r="L135" s="130"/>
      <c r="M135" s="141"/>
      <c r="N135" s="141"/>
      <c r="O135" s="141"/>
      <c r="P135" s="141"/>
      <c r="Q135" s="113"/>
      <c r="U135" s="117"/>
      <c r="V135" s="212"/>
      <c r="W135" s="213"/>
      <c r="X135" s="173"/>
      <c r="Y135" s="174"/>
      <c r="Z135" s="113"/>
      <c r="AA135" s="118"/>
      <c r="AB135" s="119"/>
      <c r="AC135" s="174"/>
      <c r="AD135" s="113"/>
      <c r="AE135" s="118"/>
      <c r="AF135" s="119"/>
      <c r="AH135" s="113"/>
      <c r="AI135" s="118"/>
      <c r="AJ135" s="119"/>
    </row>
    <row r="136" spans="1:36" ht="13.45" customHeight="1" x14ac:dyDescent="0.4">
      <c r="A136" s="13"/>
      <c r="B136" s="13"/>
      <c r="E136" s="195"/>
      <c r="F136" s="196"/>
      <c r="G136" s="197"/>
      <c r="H136" s="195"/>
      <c r="I136" s="210"/>
      <c r="J136" s="210"/>
      <c r="K136" s="293"/>
      <c r="L136" s="130"/>
      <c r="M136" s="293"/>
      <c r="N136" s="293"/>
      <c r="O136" s="293"/>
      <c r="P136" s="293"/>
      <c r="Q136" s="157"/>
      <c r="R136" s="294"/>
      <c r="S136" s="294"/>
      <c r="T136" s="294"/>
      <c r="U136" s="295"/>
      <c r="V136" s="212"/>
      <c r="W136" s="213"/>
      <c r="X136" s="173"/>
      <c r="Y136" s="174"/>
      <c r="Z136" s="113"/>
      <c r="AA136" s="118"/>
      <c r="AB136" s="119"/>
      <c r="AC136" s="174"/>
      <c r="AD136" s="113"/>
      <c r="AE136" s="118"/>
      <c r="AF136" s="119"/>
      <c r="AH136" s="113"/>
      <c r="AI136" s="118"/>
      <c r="AJ136" s="119"/>
    </row>
    <row r="137" spans="1:36" ht="13.45" hidden="1" customHeight="1" outlineLevel="1" x14ac:dyDescent="0.4">
      <c r="A137" s="280" t="s">
        <v>214</v>
      </c>
      <c r="B137" s="13"/>
      <c r="E137" s="195"/>
      <c r="F137" s="196"/>
      <c r="G137" s="197"/>
      <c r="H137" s="195"/>
      <c r="K137" s="141"/>
      <c r="L137" s="130"/>
      <c r="M137" s="141"/>
      <c r="N137" s="141"/>
      <c r="O137" s="141"/>
      <c r="P137" s="141"/>
      <c r="Q137" s="157"/>
      <c r="U137" s="117"/>
      <c r="V137" s="212"/>
      <c r="W137" s="213"/>
      <c r="X137" s="173"/>
      <c r="Y137" s="174"/>
      <c r="Z137" s="113"/>
      <c r="AA137" s="118"/>
      <c r="AB137" s="119"/>
      <c r="AC137" s="174"/>
      <c r="AD137" s="113"/>
      <c r="AE137" s="118"/>
      <c r="AF137" s="119"/>
      <c r="AH137" s="113"/>
      <c r="AI137" s="118"/>
      <c r="AJ137" s="119"/>
    </row>
    <row r="138" spans="1:36" ht="13.45" hidden="1" customHeight="1" outlineLevel="1" x14ac:dyDescent="0.35">
      <c r="A138" s="246" t="s">
        <v>215</v>
      </c>
      <c r="B138" s="246" t="s">
        <v>216</v>
      </c>
      <c r="E138" s="195"/>
      <c r="F138" s="196"/>
      <c r="G138" s="197"/>
      <c r="H138" s="175">
        <v>100</v>
      </c>
      <c r="I138" s="14">
        <v>100</v>
      </c>
      <c r="J138" s="140">
        <f t="shared" ref="J138:J139" si="116">I138-H138</f>
        <v>0</v>
      </c>
      <c r="K138" s="129">
        <v>100</v>
      </c>
      <c r="L138" s="130"/>
      <c r="M138" s="141"/>
      <c r="N138" s="129">
        <f>K138+M138+L138</f>
        <v>100</v>
      </c>
      <c r="O138" s="129"/>
      <c r="P138" s="129">
        <f>N138+O138</f>
        <v>100</v>
      </c>
      <c r="Q138" s="157"/>
      <c r="R138" s="155">
        <f>P138-Q138</f>
        <v>100</v>
      </c>
      <c r="S138" s="283">
        <f>SUM(Q138:R138)</f>
        <v>100</v>
      </c>
      <c r="T138" s="156">
        <f t="shared" ref="T138:T154" si="117">IF(ISERR(Q138/S138),"-",Q138/S138)</f>
        <v>0</v>
      </c>
      <c r="U138" s="217">
        <f t="shared" ref="U138:U154" si="118">S138-I138</f>
        <v>0</v>
      </c>
      <c r="V138" s="202">
        <f t="shared" ref="V138:V154" si="119">P138-S138</f>
        <v>0</v>
      </c>
      <c r="W138" s="227">
        <f t="shared" ref="W138:W155" si="120">IF(ISERR(V138/P138),"-",V138/P138)</f>
        <v>0</v>
      </c>
      <c r="X138" s="173"/>
      <c r="Y138" s="174"/>
      <c r="Z138" s="137">
        <f>'[1]2021-22'!C898</f>
        <v>2834.98</v>
      </c>
      <c r="AA138" s="226">
        <f>O138-Z138</f>
        <v>-2834.98</v>
      </c>
      <c r="AB138" s="227">
        <f>IF(ISERR(AA138/Z138),"-",AA138/Z138)</f>
        <v>-1</v>
      </c>
      <c r="AC138" s="174"/>
      <c r="AD138" s="137">
        <v>16385.16</v>
      </c>
      <c r="AE138" s="226">
        <f>S138-AD138</f>
        <v>-16285.16</v>
      </c>
      <c r="AF138" s="227">
        <f>IF(ISERR(AE138/AD138),"-",AE138/AD138)</f>
        <v>-0.99389691647808143</v>
      </c>
      <c r="AH138" s="137">
        <v>22430.58</v>
      </c>
      <c r="AI138" s="226">
        <f>S138-AH138</f>
        <v>-22330.58</v>
      </c>
      <c r="AJ138" s="227">
        <f>IF(ISERR(AI138/AH138),"-",AI138/AH138)</f>
        <v>-0.9955418005241059</v>
      </c>
    </row>
    <row r="139" spans="1:36" ht="13.45" hidden="1" customHeight="1" outlineLevel="1" x14ac:dyDescent="0.35">
      <c r="A139" s="246" t="s">
        <v>217</v>
      </c>
      <c r="B139" s="246" t="s">
        <v>218</v>
      </c>
      <c r="E139" s="195"/>
      <c r="F139" s="196"/>
      <c r="G139" s="197"/>
      <c r="H139" s="175"/>
      <c r="J139" s="140">
        <f t="shared" si="116"/>
        <v>0</v>
      </c>
      <c r="K139" s="142"/>
      <c r="L139" s="130"/>
      <c r="M139" s="141"/>
      <c r="N139" s="142">
        <f>K139+M139+L139</f>
        <v>0</v>
      </c>
      <c r="O139" s="142"/>
      <c r="P139" s="281">
        <f t="shared" ref="P139:P154" si="121">N139+O139</f>
        <v>0</v>
      </c>
      <c r="Q139" s="157"/>
      <c r="R139" s="155"/>
      <c r="S139" s="155">
        <f t="shared" ref="S139:S154" si="122">SUM(Q139:R139)</f>
        <v>0</v>
      </c>
      <c r="T139" s="156" t="str">
        <f t="shared" si="117"/>
        <v>-</v>
      </c>
      <c r="U139" s="217">
        <f t="shared" si="118"/>
        <v>0</v>
      </c>
      <c r="V139" s="157">
        <f t="shared" si="119"/>
        <v>0</v>
      </c>
      <c r="W139" s="227" t="str">
        <f t="shared" si="120"/>
        <v>-</v>
      </c>
      <c r="X139" s="173"/>
      <c r="Y139" s="174"/>
      <c r="Z139" s="175">
        <v>0</v>
      </c>
      <c r="AA139" s="118"/>
      <c r="AB139" s="119"/>
      <c r="AC139" s="174"/>
      <c r="AD139" s="175">
        <v>0</v>
      </c>
      <c r="AE139" s="118"/>
      <c r="AF139" s="119"/>
      <c r="AH139" s="175">
        <v>0</v>
      </c>
      <c r="AI139" s="118"/>
      <c r="AJ139" s="119"/>
    </row>
    <row r="140" spans="1:36" ht="13.45" hidden="1" customHeight="1" outlineLevel="1" x14ac:dyDescent="0.35">
      <c r="A140" s="246" t="s">
        <v>219</v>
      </c>
      <c r="B140" s="246" t="s">
        <v>220</v>
      </c>
      <c r="C140" s="146"/>
      <c r="D140" s="146"/>
      <c r="E140" s="296"/>
      <c r="F140" s="297"/>
      <c r="G140" s="298"/>
      <c r="H140" s="237"/>
      <c r="I140" s="127"/>
      <c r="J140" s="140">
        <f>I140-H140</f>
        <v>0</v>
      </c>
      <c r="K140" s="142"/>
      <c r="L140" s="130"/>
      <c r="M140" s="245"/>
      <c r="N140" s="142">
        <f t="shared" ref="N140:N154" si="123">K140+M140+L140</f>
        <v>0</v>
      </c>
      <c r="O140" s="142"/>
      <c r="P140" s="281">
        <f t="shared" si="121"/>
        <v>0</v>
      </c>
      <c r="Q140" s="157">
        <f>531799.3+66757.65+79195.04</f>
        <v>677751.99000000011</v>
      </c>
      <c r="R140" s="155">
        <f>P140-Q140</f>
        <v>-677751.99000000011</v>
      </c>
      <c r="S140" s="155">
        <f t="shared" si="122"/>
        <v>0</v>
      </c>
      <c r="T140" s="156" t="str">
        <f t="shared" si="117"/>
        <v>-</v>
      </c>
      <c r="U140" s="217">
        <f t="shared" si="118"/>
        <v>0</v>
      </c>
      <c r="V140" s="157">
        <f t="shared" si="119"/>
        <v>0</v>
      </c>
      <c r="W140" s="227" t="str">
        <f t="shared" si="120"/>
        <v>-</v>
      </c>
      <c r="X140" s="173"/>
      <c r="Y140" s="174"/>
      <c r="Z140" s="145">
        <f>'[1]2021-22'!C899</f>
        <v>0</v>
      </c>
      <c r="AA140" s="255"/>
      <c r="AB140" s="227"/>
      <c r="AC140" s="174"/>
      <c r="AD140" s="145">
        <v>0</v>
      </c>
      <c r="AE140" s="255"/>
      <c r="AF140" s="227"/>
      <c r="AH140" s="145">
        <v>0</v>
      </c>
      <c r="AI140" s="255"/>
      <c r="AJ140" s="227"/>
    </row>
    <row r="141" spans="1:36" ht="13.45" hidden="1" customHeight="1" outlineLevel="1" x14ac:dyDescent="0.35">
      <c r="A141" s="246" t="s">
        <v>221</v>
      </c>
      <c r="B141" s="246" t="s">
        <v>222</v>
      </c>
      <c r="E141" s="195"/>
      <c r="F141" s="196"/>
      <c r="G141" s="197"/>
      <c r="H141" s="237">
        <v>4049400</v>
      </c>
      <c r="I141" s="152">
        <v>4049400</v>
      </c>
      <c r="J141" s="153">
        <f>I141-H141</f>
        <v>0</v>
      </c>
      <c r="K141" s="142">
        <v>4049400</v>
      </c>
      <c r="L141" s="130"/>
      <c r="M141" s="243"/>
      <c r="N141" s="142">
        <f t="shared" si="123"/>
        <v>4049400</v>
      </c>
      <c r="O141" s="142">
        <f>32153+48263.15+7183.23</f>
        <v>87599.37999999999</v>
      </c>
      <c r="P141" s="281">
        <f t="shared" si="121"/>
        <v>4136999.38</v>
      </c>
      <c r="Q141" s="157">
        <f>-48195.32-17030.04+3017379.78+4501.8</f>
        <v>2956656.2199999997</v>
      </c>
      <c r="R141" s="155">
        <f>3548500-Q141</f>
        <v>591843.78000000026</v>
      </c>
      <c r="S141" s="155">
        <f t="shared" si="122"/>
        <v>3548500</v>
      </c>
      <c r="T141" s="156">
        <f t="shared" si="117"/>
        <v>0.83321296886008167</v>
      </c>
      <c r="U141" s="217">
        <f t="shared" si="118"/>
        <v>-500900</v>
      </c>
      <c r="V141" s="157">
        <f t="shared" si="119"/>
        <v>588499.37999999989</v>
      </c>
      <c r="W141" s="227">
        <f t="shared" si="120"/>
        <v>0.14225271167432466</v>
      </c>
      <c r="X141" s="224"/>
      <c r="Y141" s="225"/>
      <c r="Z141" s="175">
        <f>'[1]2021-22'!C900</f>
        <v>3051269.86</v>
      </c>
      <c r="AA141" s="226">
        <f>O141-Z141</f>
        <v>-2963670.48</v>
      </c>
      <c r="AB141" s="227">
        <f>IF(ISERR(AA141/Z141),"-",AA141/Z141)</f>
        <v>-0.97129084478945438</v>
      </c>
      <c r="AC141" s="225"/>
      <c r="AD141" s="175">
        <v>2727870.63</v>
      </c>
      <c r="AE141" s="226">
        <f>S141-AD141</f>
        <v>820629.37000000011</v>
      </c>
      <c r="AF141" s="227">
        <f>IF(ISERR(AE141/AD141),"-",AE141/AD141)</f>
        <v>0.30083148407958049</v>
      </c>
      <c r="AH141" s="175">
        <v>2597763.33</v>
      </c>
      <c r="AI141" s="226">
        <f>S141-AH141</f>
        <v>950736.66999999993</v>
      </c>
      <c r="AJ141" s="227">
        <f>IF(ISERR(AI141/AH141),"-",AI141/AH141)</f>
        <v>0.36598278950992813</v>
      </c>
    </row>
    <row r="142" spans="1:36" ht="13.45" hidden="1" customHeight="1" outlineLevel="1" x14ac:dyDescent="0.35">
      <c r="A142" s="246" t="s">
        <v>223</v>
      </c>
      <c r="B142" s="246" t="s">
        <v>146</v>
      </c>
      <c r="E142" s="195"/>
      <c r="F142" s="196"/>
      <c r="G142" s="197"/>
      <c r="H142" s="237"/>
      <c r="I142" s="152"/>
      <c r="J142" s="153">
        <f>I142-H142</f>
        <v>0</v>
      </c>
      <c r="K142" s="142"/>
      <c r="L142" s="130"/>
      <c r="M142" s="243"/>
      <c r="N142" s="142">
        <f t="shared" si="123"/>
        <v>0</v>
      </c>
      <c r="O142" s="142"/>
      <c r="P142" s="281">
        <f t="shared" si="121"/>
        <v>0</v>
      </c>
      <c r="Q142" s="157"/>
      <c r="R142" s="155"/>
      <c r="S142" s="155">
        <f t="shared" si="122"/>
        <v>0</v>
      </c>
      <c r="T142" s="156" t="str">
        <f t="shared" si="117"/>
        <v>-</v>
      </c>
      <c r="U142" s="217">
        <f t="shared" si="118"/>
        <v>0</v>
      </c>
      <c r="V142" s="157">
        <f t="shared" si="119"/>
        <v>0</v>
      </c>
      <c r="W142" s="227" t="str">
        <f t="shared" si="120"/>
        <v>-</v>
      </c>
      <c r="X142" s="224"/>
      <c r="Y142" s="225"/>
      <c r="Z142" s="175">
        <f>'[1]2021-22'!C901</f>
        <v>232.52</v>
      </c>
      <c r="AA142" s="226">
        <f t="shared" ref="AA142:AA154" si="124">O142-Z142</f>
        <v>-232.52</v>
      </c>
      <c r="AB142" s="227">
        <f t="shared" ref="AB142:AB155" si="125">IF(ISERR(AA142/Z142),"-",AA142/Z142)</f>
        <v>-1</v>
      </c>
      <c r="AC142" s="225"/>
      <c r="AD142" s="175">
        <v>0</v>
      </c>
      <c r="AE142" s="226">
        <f t="shared" ref="AE142:AE154" si="126">S142-AD142</f>
        <v>0</v>
      </c>
      <c r="AF142" s="227" t="str">
        <f t="shared" ref="AF142:AF155" si="127">IF(ISERR(AE142/AD142),"-",AE142/AD142)</f>
        <v>-</v>
      </c>
      <c r="AH142" s="175">
        <v>14017</v>
      </c>
      <c r="AI142" s="226">
        <f t="shared" ref="AI142:AI154" si="128">S142-AH142</f>
        <v>-14017</v>
      </c>
      <c r="AJ142" s="227">
        <f>IF(ISERR(AI142/AH142),"-",AI142/AH142)</f>
        <v>-1</v>
      </c>
    </row>
    <row r="143" spans="1:36" hidden="1" outlineLevel="1" x14ac:dyDescent="0.35">
      <c r="A143" s="246" t="s">
        <v>224</v>
      </c>
      <c r="B143" s="246" t="s">
        <v>225</v>
      </c>
      <c r="E143" s="195"/>
      <c r="F143" s="196"/>
      <c r="G143" s="197"/>
      <c r="H143" s="237"/>
      <c r="I143" s="152"/>
      <c r="J143" s="153">
        <f>I143-H143</f>
        <v>0</v>
      </c>
      <c r="K143" s="142"/>
      <c r="L143" s="130"/>
      <c r="M143" s="243"/>
      <c r="N143" s="142">
        <f t="shared" si="123"/>
        <v>0</v>
      </c>
      <c r="O143" s="142"/>
      <c r="P143" s="281">
        <f t="shared" si="121"/>
        <v>0</v>
      </c>
      <c r="Q143" s="157">
        <f>-48738.31+726420.95+335448.1</f>
        <v>1013130.7399999999</v>
      </c>
      <c r="R143" s="155">
        <f>1213000-Q143</f>
        <v>199869.26000000013</v>
      </c>
      <c r="S143" s="155">
        <f t="shared" si="122"/>
        <v>1213000</v>
      </c>
      <c r="T143" s="156">
        <f t="shared" si="117"/>
        <v>0.83522732069249783</v>
      </c>
      <c r="U143" s="217">
        <f t="shared" si="118"/>
        <v>1213000</v>
      </c>
      <c r="V143" s="157">
        <f t="shared" si="119"/>
        <v>-1213000</v>
      </c>
      <c r="W143" s="227" t="str">
        <f t="shared" si="120"/>
        <v>-</v>
      </c>
      <c r="X143" s="224"/>
      <c r="Y143" s="225"/>
      <c r="Z143" s="175">
        <f>'[1]2021-22'!C902</f>
        <v>131938.21</v>
      </c>
      <c r="AA143" s="226">
        <f t="shared" si="124"/>
        <v>-131938.21</v>
      </c>
      <c r="AB143" s="227">
        <f t="shared" si="125"/>
        <v>-1</v>
      </c>
      <c r="AC143" s="225"/>
      <c r="AD143" s="175">
        <v>112565.65</v>
      </c>
      <c r="AE143" s="226">
        <f t="shared" si="126"/>
        <v>1100434.3500000001</v>
      </c>
      <c r="AF143" s="227">
        <f t="shared" si="127"/>
        <v>9.7759338661483337</v>
      </c>
      <c r="AH143" s="175">
        <v>109062.56</v>
      </c>
      <c r="AI143" s="226">
        <f t="shared" si="128"/>
        <v>1103937.44</v>
      </c>
      <c r="AJ143" s="227">
        <f>IF(ISERR(AI143/AH143),"-",AI143/AH143)</f>
        <v>10.12205691852456</v>
      </c>
    </row>
    <row r="144" spans="1:36" ht="13.45" hidden="1" customHeight="1" outlineLevel="1" x14ac:dyDescent="0.35">
      <c r="A144" s="66" t="s">
        <v>226</v>
      </c>
      <c r="B144" s="66" t="s">
        <v>227</v>
      </c>
      <c r="E144" s="195"/>
      <c r="F144" s="196"/>
      <c r="G144" s="197"/>
      <c r="H144" s="237"/>
      <c r="I144" s="152"/>
      <c r="J144" s="153">
        <f t="shared" ref="J144:J145" si="129">I144-H144</f>
        <v>0</v>
      </c>
      <c r="K144" s="142"/>
      <c r="L144" s="130"/>
      <c r="M144" s="243"/>
      <c r="N144" s="142">
        <f t="shared" si="123"/>
        <v>0</v>
      </c>
      <c r="O144" s="142"/>
      <c r="P144" s="281">
        <f t="shared" si="121"/>
        <v>0</v>
      </c>
      <c r="Q144" s="157"/>
      <c r="R144" s="155"/>
      <c r="S144" s="155">
        <f t="shared" si="122"/>
        <v>0</v>
      </c>
      <c r="T144" s="156" t="str">
        <f t="shared" si="117"/>
        <v>-</v>
      </c>
      <c r="U144" s="217">
        <f t="shared" si="118"/>
        <v>0</v>
      </c>
      <c r="V144" s="157">
        <f t="shared" si="119"/>
        <v>0</v>
      </c>
      <c r="W144" s="227" t="str">
        <f t="shared" si="120"/>
        <v>-</v>
      </c>
      <c r="X144" s="224"/>
      <c r="Y144" s="225"/>
      <c r="Z144" s="175">
        <f>'[1]2021-22'!C903</f>
        <v>490934.3</v>
      </c>
      <c r="AA144" s="226">
        <f t="shared" si="124"/>
        <v>-490934.3</v>
      </c>
      <c r="AB144" s="227">
        <f t="shared" si="125"/>
        <v>-1</v>
      </c>
      <c r="AC144" s="225"/>
      <c r="AD144" s="175">
        <v>378287.79</v>
      </c>
      <c r="AE144" s="226">
        <f t="shared" si="126"/>
        <v>-378287.79</v>
      </c>
      <c r="AF144" s="227">
        <f t="shared" si="127"/>
        <v>-1</v>
      </c>
      <c r="AH144" s="175">
        <v>330379.43</v>
      </c>
      <c r="AI144" s="226">
        <f t="shared" si="128"/>
        <v>-330379.43</v>
      </c>
      <c r="AJ144" s="227">
        <f t="shared" ref="AJ144:AJ145" si="130">IF(ISERR(AI144/AH144),"-",AI144/AH144)</f>
        <v>-1</v>
      </c>
    </row>
    <row r="145" spans="1:36" ht="13.45" hidden="1" customHeight="1" outlineLevel="1" x14ac:dyDescent="0.35">
      <c r="A145" s="66" t="s">
        <v>228</v>
      </c>
      <c r="B145" s="66" t="s">
        <v>229</v>
      </c>
      <c r="E145" s="195"/>
      <c r="F145" s="196"/>
      <c r="G145" s="197"/>
      <c r="H145" s="237"/>
      <c r="I145" s="152"/>
      <c r="J145" s="153">
        <f t="shared" si="129"/>
        <v>0</v>
      </c>
      <c r="K145" s="142"/>
      <c r="L145" s="130"/>
      <c r="M145" s="243"/>
      <c r="N145" s="142">
        <f t="shared" si="123"/>
        <v>0</v>
      </c>
      <c r="O145" s="142"/>
      <c r="P145" s="281">
        <f t="shared" si="121"/>
        <v>0</v>
      </c>
      <c r="Q145" s="157"/>
      <c r="R145" s="155"/>
      <c r="S145" s="155">
        <f t="shared" si="122"/>
        <v>0</v>
      </c>
      <c r="T145" s="156" t="str">
        <f t="shared" si="117"/>
        <v>-</v>
      </c>
      <c r="U145" s="217">
        <f t="shared" si="118"/>
        <v>0</v>
      </c>
      <c r="V145" s="157">
        <f t="shared" si="119"/>
        <v>0</v>
      </c>
      <c r="W145" s="227" t="str">
        <f t="shared" si="120"/>
        <v>-</v>
      </c>
      <c r="X145" s="224"/>
      <c r="Y145" s="225"/>
      <c r="Z145" s="175">
        <f>'[1]2021-22'!C904</f>
        <v>8662</v>
      </c>
      <c r="AA145" s="226">
        <f t="shared" si="124"/>
        <v>-8662</v>
      </c>
      <c r="AB145" s="227">
        <f t="shared" si="125"/>
        <v>-1</v>
      </c>
      <c r="AC145" s="225"/>
      <c r="AD145" s="175">
        <v>30867</v>
      </c>
      <c r="AE145" s="226">
        <f t="shared" si="126"/>
        <v>-30867</v>
      </c>
      <c r="AF145" s="227">
        <f t="shared" si="127"/>
        <v>-1</v>
      </c>
      <c r="AH145" s="175">
        <v>20145</v>
      </c>
      <c r="AI145" s="226">
        <f t="shared" si="128"/>
        <v>-20145</v>
      </c>
      <c r="AJ145" s="227">
        <f t="shared" si="130"/>
        <v>-1</v>
      </c>
    </row>
    <row r="146" spans="1:36" ht="13.45" hidden="1" customHeight="1" outlineLevel="1" x14ac:dyDescent="0.35">
      <c r="A146" s="66" t="s">
        <v>230</v>
      </c>
      <c r="B146" s="66" t="s">
        <v>231</v>
      </c>
      <c r="E146" s="195"/>
      <c r="F146" s="196"/>
      <c r="G146" s="197"/>
      <c r="H146" s="242">
        <v>122100</v>
      </c>
      <c r="I146" s="152">
        <f>122100+90000</f>
        <v>212100</v>
      </c>
      <c r="J146" s="153">
        <f>I146-H146</f>
        <v>90000</v>
      </c>
      <c r="K146" s="142">
        <v>122100</v>
      </c>
      <c r="L146" s="130"/>
      <c r="M146" s="243"/>
      <c r="N146" s="142">
        <f t="shared" si="123"/>
        <v>122100</v>
      </c>
      <c r="O146" s="142">
        <f>90000+626+782</f>
        <v>91408</v>
      </c>
      <c r="P146" s="281">
        <f t="shared" si="121"/>
        <v>213508</v>
      </c>
      <c r="Q146" s="157">
        <v>103727.75</v>
      </c>
      <c r="R146" s="155">
        <f>P146-Q146</f>
        <v>109780.25</v>
      </c>
      <c r="S146" s="155">
        <f t="shared" si="122"/>
        <v>213508</v>
      </c>
      <c r="T146" s="156">
        <f t="shared" si="117"/>
        <v>0.48582605803997975</v>
      </c>
      <c r="U146" s="217">
        <f t="shared" si="118"/>
        <v>1408</v>
      </c>
      <c r="V146" s="157">
        <f t="shared" si="119"/>
        <v>0</v>
      </c>
      <c r="W146" s="227">
        <f t="shared" si="120"/>
        <v>0</v>
      </c>
      <c r="X146" s="224"/>
      <c r="Y146" s="225"/>
      <c r="Z146" s="175">
        <f>'[1]2021-22'!C905</f>
        <v>208628.01</v>
      </c>
      <c r="AA146" s="226">
        <f t="shared" si="124"/>
        <v>-117220.01000000001</v>
      </c>
      <c r="AB146" s="227">
        <f t="shared" si="125"/>
        <v>-0.56186132437346259</v>
      </c>
      <c r="AC146" s="225"/>
      <c r="AD146" s="175">
        <v>91523.72</v>
      </c>
      <c r="AE146" s="226">
        <f t="shared" si="126"/>
        <v>121984.28</v>
      </c>
      <c r="AF146" s="227">
        <f t="shared" si="127"/>
        <v>1.332816017530756</v>
      </c>
      <c r="AH146" s="175">
        <v>86854.12</v>
      </c>
      <c r="AI146" s="226">
        <f t="shared" si="128"/>
        <v>126653.88</v>
      </c>
      <c r="AJ146" s="227">
        <f>IF(ISERR(AI146/AH146),"-",AI146/AH146)</f>
        <v>1.4582368689015559</v>
      </c>
    </row>
    <row r="147" spans="1:36" hidden="1" outlineLevel="1" x14ac:dyDescent="0.35">
      <c r="A147" s="246" t="s">
        <v>232</v>
      </c>
      <c r="B147" s="246" t="s">
        <v>233</v>
      </c>
      <c r="C147" s="146"/>
      <c r="D147" s="146"/>
      <c r="E147" s="296"/>
      <c r="F147" s="297"/>
      <c r="G147" s="298"/>
      <c r="H147" s="242">
        <v>13831500</v>
      </c>
      <c r="I147" s="152">
        <v>13831500</v>
      </c>
      <c r="J147" s="153">
        <f>I147-H147</f>
        <v>0</v>
      </c>
      <c r="K147" s="142">
        <v>13831500</v>
      </c>
      <c r="L147" s="130"/>
      <c r="M147" s="299"/>
      <c r="N147" s="142">
        <f t="shared" si="123"/>
        <v>13831500</v>
      </c>
      <c r="O147" s="142">
        <f>25766+29918+52699.24+38675.04+5960.82+6904.48</f>
        <v>159923.58000000002</v>
      </c>
      <c r="P147" s="281">
        <f t="shared" si="121"/>
        <v>13991423.58</v>
      </c>
      <c r="Q147" s="157">
        <v>9925612.6899999995</v>
      </c>
      <c r="R147" s="155">
        <f>13694000-Q147</f>
        <v>3768387.3100000005</v>
      </c>
      <c r="S147" s="155">
        <f t="shared" si="122"/>
        <v>13694000</v>
      </c>
      <c r="T147" s="156">
        <f>IF(ISERR(Q147/S147),"-",Q147/S147)</f>
        <v>0.72481471374324513</v>
      </c>
      <c r="U147" s="217">
        <f t="shared" si="118"/>
        <v>-137500</v>
      </c>
      <c r="V147" s="157">
        <f>P147-S147</f>
        <v>297423.58000000007</v>
      </c>
      <c r="W147" s="227">
        <f t="shared" si="120"/>
        <v>2.1257563842549329E-2</v>
      </c>
      <c r="X147" s="173"/>
      <c r="Y147" s="174"/>
      <c r="Z147" s="175">
        <f>'[1]2021-22'!C906</f>
        <v>9063423.1199999992</v>
      </c>
      <c r="AA147" s="226">
        <f t="shared" si="124"/>
        <v>-8903499.5399999991</v>
      </c>
      <c r="AB147" s="227">
        <f t="shared" si="125"/>
        <v>-0.9823550574785479</v>
      </c>
      <c r="AC147" s="174"/>
      <c r="AD147" s="175">
        <v>7524502.54</v>
      </c>
      <c r="AE147" s="226">
        <f t="shared" si="126"/>
        <v>6169497.46</v>
      </c>
      <c r="AF147" s="227">
        <f t="shared" si="127"/>
        <v>0.81992097513465656</v>
      </c>
      <c r="AH147" s="175">
        <v>7062262.5199999996</v>
      </c>
      <c r="AI147" s="226">
        <f t="shared" si="128"/>
        <v>6631737.4800000004</v>
      </c>
      <c r="AJ147" s="227">
        <f t="shared" ref="AJ147:AJ155" si="131">IF(ISERR(AI147/AH147),"-",AI147/AH147)</f>
        <v>0.93903865244590212</v>
      </c>
    </row>
    <row r="148" spans="1:36" ht="13.45" hidden="1" customHeight="1" outlineLevel="1" x14ac:dyDescent="0.35">
      <c r="A148" s="66" t="s">
        <v>234</v>
      </c>
      <c r="B148" s="66" t="s">
        <v>235</v>
      </c>
      <c r="E148" s="195"/>
      <c r="F148" s="196"/>
      <c r="G148" s="197"/>
      <c r="H148" s="242">
        <v>2858700</v>
      </c>
      <c r="I148" s="152">
        <v>2858700</v>
      </c>
      <c r="J148" s="153">
        <f t="shared" ref="J148:J154" si="132">I148-H148</f>
        <v>0</v>
      </c>
      <c r="K148" s="142">
        <v>2858700</v>
      </c>
      <c r="L148" s="130"/>
      <c r="M148" s="243"/>
      <c r="N148" s="142">
        <f t="shared" si="123"/>
        <v>2858700</v>
      </c>
      <c r="O148" s="142">
        <f>9469+10995+19366.51+14212.73+2422.24+2805.71</f>
        <v>59271.189999999988</v>
      </c>
      <c r="P148" s="281">
        <f t="shared" si="121"/>
        <v>2917971.19</v>
      </c>
      <c r="Q148" s="157">
        <f>561.94+2243087.22</f>
        <v>2243649.16</v>
      </c>
      <c r="R148" s="155">
        <f>2922500-Q148</f>
        <v>678850.83999999985</v>
      </c>
      <c r="S148" s="155">
        <f t="shared" si="122"/>
        <v>2922500</v>
      </c>
      <c r="T148" s="156">
        <f t="shared" si="117"/>
        <v>0.76771570915312237</v>
      </c>
      <c r="U148" s="217">
        <f t="shared" si="118"/>
        <v>63800</v>
      </c>
      <c r="V148" s="157">
        <f t="shared" si="119"/>
        <v>-4528.8100000000559</v>
      </c>
      <c r="W148" s="227">
        <f t="shared" si="120"/>
        <v>-1.5520406834448753E-3</v>
      </c>
      <c r="X148" s="173"/>
      <c r="Y148" s="174"/>
      <c r="Z148" s="175">
        <f>'[1]2021-22'!C907</f>
        <v>2187648.86</v>
      </c>
      <c r="AA148" s="226">
        <f t="shared" si="124"/>
        <v>-2128377.67</v>
      </c>
      <c r="AB148" s="227">
        <f t="shared" si="125"/>
        <v>-0.97290644258146619</v>
      </c>
      <c r="AC148" s="174"/>
      <c r="AD148" s="175">
        <v>1978213.57</v>
      </c>
      <c r="AE148" s="226">
        <f t="shared" si="126"/>
        <v>944286.42999999993</v>
      </c>
      <c r="AF148" s="227">
        <f t="shared" si="127"/>
        <v>0.47734301509214694</v>
      </c>
      <c r="AH148" s="175">
        <v>1920431.17</v>
      </c>
      <c r="AI148" s="226">
        <f t="shared" si="128"/>
        <v>1002068.8300000001</v>
      </c>
      <c r="AJ148" s="227">
        <f t="shared" si="131"/>
        <v>0.52179367094942541</v>
      </c>
    </row>
    <row r="149" spans="1:36" hidden="1" outlineLevel="1" x14ac:dyDescent="0.35">
      <c r="A149" s="246" t="s">
        <v>236</v>
      </c>
      <c r="B149" s="246" t="s">
        <v>237</v>
      </c>
      <c r="C149" s="146"/>
      <c r="D149" s="146"/>
      <c r="E149" s="296"/>
      <c r="F149" s="297"/>
      <c r="G149" s="298"/>
      <c r="H149" s="242">
        <v>4560800</v>
      </c>
      <c r="I149" s="152">
        <v>4560800</v>
      </c>
      <c r="J149" s="153">
        <f t="shared" si="132"/>
        <v>0</v>
      </c>
      <c r="K149" s="142">
        <v>4560800</v>
      </c>
      <c r="L149" s="130"/>
      <c r="M149" s="299"/>
      <c r="N149" s="142">
        <f t="shared" si="123"/>
        <v>4560800</v>
      </c>
      <c r="O149" s="142"/>
      <c r="P149" s="281">
        <f t="shared" si="121"/>
        <v>4560800</v>
      </c>
      <c r="Q149" s="157">
        <f>-108428.22+3789119.88</f>
        <v>3680691.6599999997</v>
      </c>
      <c r="R149" s="155">
        <f>4647000-Q149</f>
        <v>966308.34000000032</v>
      </c>
      <c r="S149" s="155">
        <f t="shared" si="122"/>
        <v>4647000</v>
      </c>
      <c r="T149" s="156">
        <f t="shared" si="117"/>
        <v>0.79205759845061319</v>
      </c>
      <c r="U149" s="217">
        <f t="shared" si="118"/>
        <v>86200</v>
      </c>
      <c r="V149" s="157">
        <f t="shared" si="119"/>
        <v>-86200</v>
      </c>
      <c r="W149" s="227">
        <f t="shared" si="120"/>
        <v>-1.8900192948605506E-2</v>
      </c>
      <c r="X149" s="173"/>
      <c r="Y149" s="174"/>
      <c r="Z149" s="175">
        <f>'[1]2021-22'!C908</f>
        <v>3349822.82</v>
      </c>
      <c r="AA149" s="226">
        <f t="shared" si="124"/>
        <v>-3349822.82</v>
      </c>
      <c r="AB149" s="227">
        <f t="shared" si="125"/>
        <v>-1</v>
      </c>
      <c r="AC149" s="174"/>
      <c r="AD149" s="175">
        <v>3086338.97</v>
      </c>
      <c r="AE149" s="226">
        <f t="shared" si="126"/>
        <v>1560661.0299999998</v>
      </c>
      <c r="AF149" s="227">
        <f t="shared" si="127"/>
        <v>0.50566740891717399</v>
      </c>
      <c r="AH149" s="175">
        <v>3078398.05</v>
      </c>
      <c r="AI149" s="226">
        <f t="shared" si="128"/>
        <v>1568601.9500000002</v>
      </c>
      <c r="AJ149" s="227">
        <f t="shared" si="131"/>
        <v>0.50955137201961265</v>
      </c>
    </row>
    <row r="150" spans="1:36" hidden="1" outlineLevel="1" x14ac:dyDescent="0.35">
      <c r="A150" s="246" t="s">
        <v>238</v>
      </c>
      <c r="B150" s="246" t="s">
        <v>239</v>
      </c>
      <c r="C150" s="146"/>
      <c r="D150" s="146"/>
      <c r="E150" s="296"/>
      <c r="F150" s="297"/>
      <c r="G150" s="298"/>
      <c r="H150" s="175">
        <v>155200</v>
      </c>
      <c r="I150" s="152">
        <v>155200</v>
      </c>
      <c r="J150" s="153">
        <f t="shared" si="132"/>
        <v>0</v>
      </c>
      <c r="K150" s="142">
        <v>155200</v>
      </c>
      <c r="L150" s="130"/>
      <c r="M150" s="299"/>
      <c r="N150" s="142">
        <f t="shared" si="123"/>
        <v>155200</v>
      </c>
      <c r="O150" s="142"/>
      <c r="P150" s="281">
        <f t="shared" si="121"/>
        <v>155200</v>
      </c>
      <c r="Q150" s="157"/>
      <c r="R150" s="155">
        <f>P150-Q150</f>
        <v>155200</v>
      </c>
      <c r="S150" s="155">
        <f t="shared" si="122"/>
        <v>155200</v>
      </c>
      <c r="T150" s="156">
        <f t="shared" si="117"/>
        <v>0</v>
      </c>
      <c r="U150" s="217">
        <f t="shared" si="118"/>
        <v>0</v>
      </c>
      <c r="V150" s="157">
        <f t="shared" si="119"/>
        <v>0</v>
      </c>
      <c r="W150" s="227">
        <f t="shared" si="120"/>
        <v>0</v>
      </c>
      <c r="X150" s="173"/>
      <c r="Y150" s="174"/>
      <c r="Z150" s="175">
        <f>'[1]2021-22'!C910</f>
        <v>146721</v>
      </c>
      <c r="AA150" s="226">
        <f t="shared" si="124"/>
        <v>-146721</v>
      </c>
      <c r="AB150" s="227">
        <f t="shared" si="125"/>
        <v>-1</v>
      </c>
      <c r="AC150" s="174"/>
      <c r="AD150" s="175">
        <v>123840</v>
      </c>
      <c r="AE150" s="226">
        <f t="shared" si="126"/>
        <v>31360</v>
      </c>
      <c r="AF150" s="227">
        <f t="shared" si="127"/>
        <v>0.25322997416020671</v>
      </c>
      <c r="AH150" s="175">
        <v>120958.26</v>
      </c>
      <c r="AI150" s="226">
        <f t="shared" si="128"/>
        <v>34241.740000000005</v>
      </c>
      <c r="AJ150" s="227">
        <f t="shared" si="131"/>
        <v>0.28308724017690073</v>
      </c>
    </row>
    <row r="151" spans="1:36" ht="13.45" hidden="1" customHeight="1" outlineLevel="1" x14ac:dyDescent="0.35">
      <c r="A151" s="246" t="s">
        <v>240</v>
      </c>
      <c r="B151" s="246" t="s">
        <v>241</v>
      </c>
      <c r="C151" s="146"/>
      <c r="D151" s="146"/>
      <c r="E151" s="296"/>
      <c r="F151" s="297"/>
      <c r="G151" s="298"/>
      <c r="H151" s="175">
        <v>38600</v>
      </c>
      <c r="I151" s="152">
        <v>38600</v>
      </c>
      <c r="J151" s="153">
        <f t="shared" si="132"/>
        <v>0</v>
      </c>
      <c r="K151" s="142">
        <v>38600</v>
      </c>
      <c r="L151" s="130"/>
      <c r="M151" s="299"/>
      <c r="N151" s="142">
        <f t="shared" si="123"/>
        <v>38600</v>
      </c>
      <c r="O151" s="142"/>
      <c r="P151" s="281">
        <f t="shared" si="121"/>
        <v>38600</v>
      </c>
      <c r="Q151" s="157"/>
      <c r="R151" s="155">
        <f>P151-Q151</f>
        <v>38600</v>
      </c>
      <c r="S151" s="155">
        <f t="shared" si="122"/>
        <v>38600</v>
      </c>
      <c r="T151" s="156">
        <f t="shared" si="117"/>
        <v>0</v>
      </c>
      <c r="U151" s="217">
        <f t="shared" si="118"/>
        <v>0</v>
      </c>
      <c r="V151" s="157">
        <f t="shared" si="119"/>
        <v>0</v>
      </c>
      <c r="W151" s="227">
        <f t="shared" si="120"/>
        <v>0</v>
      </c>
      <c r="X151" s="173"/>
      <c r="Y151" s="174"/>
      <c r="Z151" s="175">
        <f>'[1]2021-22'!C911</f>
        <v>24860.87</v>
      </c>
      <c r="AA151" s="226">
        <f t="shared" si="124"/>
        <v>-24860.87</v>
      </c>
      <c r="AB151" s="227">
        <f t="shared" si="125"/>
        <v>-1</v>
      </c>
      <c r="AC151" s="174"/>
      <c r="AD151" s="175">
        <v>25252.17</v>
      </c>
      <c r="AE151" s="226">
        <f t="shared" si="126"/>
        <v>13347.830000000002</v>
      </c>
      <c r="AF151" s="227">
        <f t="shared" si="127"/>
        <v>0.52858150408459958</v>
      </c>
      <c r="AH151" s="175">
        <v>27150</v>
      </c>
      <c r="AI151" s="226">
        <f t="shared" si="128"/>
        <v>11450</v>
      </c>
      <c r="AJ151" s="227">
        <f t="shared" si="131"/>
        <v>0.42173112338858193</v>
      </c>
    </row>
    <row r="152" spans="1:36" ht="13.45" hidden="1" customHeight="1" outlineLevel="1" x14ac:dyDescent="0.35">
      <c r="A152" s="246" t="s">
        <v>242</v>
      </c>
      <c r="B152" s="246" t="s">
        <v>243</v>
      </c>
      <c r="C152" s="146"/>
      <c r="D152" s="146"/>
      <c r="E152" s="296"/>
      <c r="F152" s="297"/>
      <c r="G152" s="298"/>
      <c r="H152" s="175">
        <v>20300</v>
      </c>
      <c r="I152" s="152">
        <v>20300</v>
      </c>
      <c r="J152" s="153">
        <f t="shared" si="132"/>
        <v>0</v>
      </c>
      <c r="K152" s="142">
        <v>20300</v>
      </c>
      <c r="L152" s="130"/>
      <c r="M152" s="299"/>
      <c r="N152" s="142">
        <f t="shared" si="123"/>
        <v>20300</v>
      </c>
      <c r="O152" s="142"/>
      <c r="P152" s="281">
        <f t="shared" si="121"/>
        <v>20300</v>
      </c>
      <c r="Q152" s="157">
        <f>2956.6+2261.46</f>
        <v>5218.0599999999995</v>
      </c>
      <c r="R152" s="155">
        <f>P152-Q152</f>
        <v>15081.94</v>
      </c>
      <c r="S152" s="155">
        <f t="shared" si="122"/>
        <v>20300</v>
      </c>
      <c r="T152" s="156">
        <f t="shared" si="117"/>
        <v>0.25704729064039405</v>
      </c>
      <c r="U152" s="217">
        <f t="shared" si="118"/>
        <v>0</v>
      </c>
      <c r="V152" s="157">
        <f t="shared" si="119"/>
        <v>0</v>
      </c>
      <c r="W152" s="227">
        <f t="shared" si="120"/>
        <v>0</v>
      </c>
      <c r="X152" s="173"/>
      <c r="Y152" s="174"/>
      <c r="Z152" s="175">
        <f>'[1]2021-22'!C912</f>
        <v>5565.65</v>
      </c>
      <c r="AA152" s="226">
        <f t="shared" si="124"/>
        <v>-5565.65</v>
      </c>
      <c r="AB152" s="227">
        <f t="shared" si="125"/>
        <v>-1</v>
      </c>
      <c r="AC152" s="174"/>
      <c r="AD152" s="175">
        <v>5785.4</v>
      </c>
      <c r="AE152" s="226">
        <f t="shared" si="126"/>
        <v>14514.6</v>
      </c>
      <c r="AF152" s="227">
        <f t="shared" si="127"/>
        <v>2.5088325785598231</v>
      </c>
      <c r="AH152" s="175">
        <v>6738</v>
      </c>
      <c r="AI152" s="226">
        <f t="shared" si="128"/>
        <v>13562</v>
      </c>
      <c r="AJ152" s="227">
        <f t="shared" si="131"/>
        <v>2.012763431285248</v>
      </c>
    </row>
    <row r="153" spans="1:36" hidden="1" outlineLevel="1" x14ac:dyDescent="0.35">
      <c r="A153" s="66" t="s">
        <v>244</v>
      </c>
      <c r="B153" s="66" t="s">
        <v>245</v>
      </c>
      <c r="E153" s="195"/>
      <c r="F153" s="196"/>
      <c r="G153" s="197"/>
      <c r="H153" s="175">
        <f>3700+61900</f>
        <v>65600</v>
      </c>
      <c r="I153" s="152">
        <v>65600</v>
      </c>
      <c r="J153" s="153">
        <f t="shared" si="132"/>
        <v>0</v>
      </c>
      <c r="K153" s="142">
        <v>65600</v>
      </c>
      <c r="L153" s="130"/>
      <c r="M153" s="243"/>
      <c r="N153" s="142">
        <f t="shared" si="123"/>
        <v>65600</v>
      </c>
      <c r="O153" s="142"/>
      <c r="P153" s="281">
        <f t="shared" si="121"/>
        <v>65600</v>
      </c>
      <c r="Q153" s="157">
        <f>758.18+100+145+4068</f>
        <v>5071.18</v>
      </c>
      <c r="R153" s="155">
        <f>P153-Q153</f>
        <v>60528.82</v>
      </c>
      <c r="S153" s="155">
        <f t="shared" si="122"/>
        <v>65600</v>
      </c>
      <c r="T153" s="156">
        <f t="shared" si="117"/>
        <v>7.7304573170731708E-2</v>
      </c>
      <c r="U153" s="217">
        <f t="shared" si="118"/>
        <v>0</v>
      </c>
      <c r="V153" s="157">
        <f t="shared" si="119"/>
        <v>0</v>
      </c>
      <c r="W153" s="227">
        <f t="shared" si="120"/>
        <v>0</v>
      </c>
      <c r="X153" s="173"/>
      <c r="Y153" s="174"/>
      <c r="Z153" s="175">
        <f>'[1]2021-22'!C913+SUM('[1]2021-22'!C915:C932)</f>
        <v>86987.33</v>
      </c>
      <c r="AA153" s="226">
        <f t="shared" si="124"/>
        <v>-86987.33</v>
      </c>
      <c r="AB153" s="227">
        <f t="shared" si="125"/>
        <v>-1</v>
      </c>
      <c r="AC153" s="174"/>
      <c r="AD153" s="175">
        <v>9971.1299999999992</v>
      </c>
      <c r="AE153" s="226">
        <f t="shared" si="126"/>
        <v>55628.87</v>
      </c>
      <c r="AF153" s="227">
        <f t="shared" si="127"/>
        <v>5.5789935543915288</v>
      </c>
      <c r="AH153" s="175">
        <v>69031.079999999987</v>
      </c>
      <c r="AI153" s="226">
        <f t="shared" si="128"/>
        <v>-3431.0799999999872</v>
      </c>
      <c r="AJ153" s="227">
        <f t="shared" si="131"/>
        <v>-4.9703408957240534E-2</v>
      </c>
    </row>
    <row r="154" spans="1:36" ht="13.45" hidden="1" customHeight="1" outlineLevel="1" x14ac:dyDescent="0.35">
      <c r="A154" s="66" t="s">
        <v>246</v>
      </c>
      <c r="B154" s="66" t="s">
        <v>247</v>
      </c>
      <c r="E154" s="195"/>
      <c r="F154" s="196"/>
      <c r="G154" s="197"/>
      <c r="H154" s="175"/>
      <c r="I154" s="152"/>
      <c r="J154" s="153">
        <f t="shared" si="132"/>
        <v>0</v>
      </c>
      <c r="K154" s="243"/>
      <c r="L154" s="130"/>
      <c r="M154" s="243">
        <f>101387.79+155565.07+350098.86+167393.36+140029.98+136190.7+104895.03+124119.33</f>
        <v>1279680.1200000001</v>
      </c>
      <c r="N154" s="142">
        <f t="shared" si="123"/>
        <v>1279680.1200000001</v>
      </c>
      <c r="O154" s="142"/>
      <c r="P154" s="281">
        <f t="shared" si="121"/>
        <v>1279680.1200000001</v>
      </c>
      <c r="Q154" s="157">
        <v>1279680.1200000001</v>
      </c>
      <c r="R154" s="155">
        <f>P154-Q154</f>
        <v>0</v>
      </c>
      <c r="S154" s="155">
        <f t="shared" si="122"/>
        <v>1279680.1200000001</v>
      </c>
      <c r="T154" s="156">
        <f t="shared" si="117"/>
        <v>1</v>
      </c>
      <c r="U154" s="217">
        <f t="shared" si="118"/>
        <v>1279680.1200000001</v>
      </c>
      <c r="V154" s="157">
        <f t="shared" si="119"/>
        <v>0</v>
      </c>
      <c r="W154" s="227">
        <f t="shared" si="120"/>
        <v>0</v>
      </c>
      <c r="X154" s="173"/>
      <c r="Y154" s="174"/>
      <c r="Z154" s="175">
        <f>'[1]2021-22'!C914</f>
        <v>971568.44</v>
      </c>
      <c r="AA154" s="226">
        <f t="shared" si="124"/>
        <v>-971568.44</v>
      </c>
      <c r="AB154" s="227">
        <f t="shared" si="125"/>
        <v>-1</v>
      </c>
      <c r="AC154" s="174"/>
      <c r="AD154" s="175">
        <v>1204623.8799999999</v>
      </c>
      <c r="AE154" s="226">
        <f t="shared" si="126"/>
        <v>75056.240000000224</v>
      </c>
      <c r="AF154" s="227">
        <f t="shared" si="127"/>
        <v>6.2306784089321082E-2</v>
      </c>
      <c r="AH154" s="175">
        <v>1043741.17</v>
      </c>
      <c r="AI154" s="226">
        <f t="shared" si="128"/>
        <v>235938.95000000007</v>
      </c>
      <c r="AJ154" s="227">
        <f t="shared" si="131"/>
        <v>0.2260512057793026</v>
      </c>
    </row>
    <row r="155" spans="1:36" ht="13.45" customHeight="1" collapsed="1" x14ac:dyDescent="0.4">
      <c r="A155" s="268" t="s">
        <v>248</v>
      </c>
      <c r="B155" s="13"/>
      <c r="E155" s="229">
        <f>SUM(E140:E153)</f>
        <v>0</v>
      </c>
      <c r="F155" s="290">
        <f>SUM(F140:F153)</f>
        <v>0</v>
      </c>
      <c r="G155" s="179">
        <f>SUM(G140:G153)</f>
        <v>0</v>
      </c>
      <c r="H155" s="269">
        <f t="shared" ref="H155:S155" si="133">SUM(H138:H154)</f>
        <v>25702300</v>
      </c>
      <c r="I155" s="230">
        <f t="shared" si="133"/>
        <v>25792300</v>
      </c>
      <c r="J155" s="230">
        <f t="shared" si="133"/>
        <v>90000</v>
      </c>
      <c r="K155" s="185">
        <f t="shared" si="133"/>
        <v>25702300</v>
      </c>
      <c r="L155" s="183">
        <f>SUM(L138:L154)</f>
        <v>0</v>
      </c>
      <c r="M155" s="185">
        <f t="shared" si="133"/>
        <v>1279680.1200000001</v>
      </c>
      <c r="N155" s="185">
        <f t="shared" si="133"/>
        <v>26981980.120000001</v>
      </c>
      <c r="O155" s="186">
        <f t="shared" si="133"/>
        <v>398202.15</v>
      </c>
      <c r="P155" s="185">
        <f t="shared" si="133"/>
        <v>27380182.270000003</v>
      </c>
      <c r="Q155" s="187">
        <f t="shared" si="133"/>
        <v>21891189.57</v>
      </c>
      <c r="R155" s="188">
        <f t="shared" si="133"/>
        <v>5906798.5500000017</v>
      </c>
      <c r="S155" s="188">
        <f t="shared" si="133"/>
        <v>27797988.120000001</v>
      </c>
      <c r="T155" s="189">
        <f>IF(ISERR(Q155/S155),"-",Q155/S155)</f>
        <v>0.78750985414839436</v>
      </c>
      <c r="U155" s="232">
        <f>SUM(U140:U154)</f>
        <v>2005688.12</v>
      </c>
      <c r="V155" s="190">
        <f>SUM(V140:V154)-1</f>
        <v>-417806.85000000009</v>
      </c>
      <c r="W155" s="191">
        <f t="shared" si="120"/>
        <v>-1.5259461967051399E-2</v>
      </c>
      <c r="X155" s="192"/>
      <c r="Y155" s="174"/>
      <c r="Z155" s="193">
        <f>SUM(Z138:Z154)</f>
        <v>19731097.969999999</v>
      </c>
      <c r="AA155" s="300">
        <f>SUM(AA138:AA154)</f>
        <v>-19332895.819999997</v>
      </c>
      <c r="AB155" s="191">
        <f t="shared" si="125"/>
        <v>-0.97981855086800307</v>
      </c>
      <c r="AC155" s="174"/>
      <c r="AD155" s="193">
        <f>SUM(AD138:AD154)</f>
        <v>17316027.610000003</v>
      </c>
      <c r="AE155" s="300">
        <f>SUM(AE138:AE154)</f>
        <v>10481960.509999998</v>
      </c>
      <c r="AF155" s="191">
        <f t="shared" si="127"/>
        <v>0.60533285959573468</v>
      </c>
      <c r="AH155" s="193">
        <f>SUM(AH138:AH154)</f>
        <v>16509362.269999998</v>
      </c>
      <c r="AI155" s="300">
        <f>SUM(AI138:AI154)</f>
        <v>11288625.850000001</v>
      </c>
      <c r="AJ155" s="191">
        <f t="shared" si="131"/>
        <v>0.68377116362108903</v>
      </c>
    </row>
    <row r="156" spans="1:36" ht="13.45" customHeight="1" x14ac:dyDescent="0.35">
      <c r="A156" s="66"/>
      <c r="B156" s="66"/>
      <c r="E156" s="195"/>
      <c r="F156" s="196"/>
      <c r="G156" s="197"/>
      <c r="H156" s="270"/>
      <c r="I156" s="301"/>
      <c r="J156" s="301"/>
      <c r="K156" s="302"/>
      <c r="L156" s="130"/>
      <c r="M156" s="302"/>
      <c r="N156" s="302"/>
      <c r="O156" s="302"/>
      <c r="P156" s="302"/>
      <c r="Q156" s="303"/>
      <c r="R156" s="301"/>
      <c r="S156" s="301"/>
      <c r="T156" s="304"/>
      <c r="U156" s="305"/>
      <c r="V156" s="306"/>
      <c r="W156" s="307"/>
      <c r="X156" s="308"/>
      <c r="Y156" s="309"/>
      <c r="Z156" s="113"/>
      <c r="AA156" s="118"/>
      <c r="AB156" s="119"/>
      <c r="AC156" s="309"/>
      <c r="AD156" s="113"/>
      <c r="AE156" s="118"/>
      <c r="AF156" s="119"/>
      <c r="AH156" s="113"/>
      <c r="AI156" s="118"/>
      <c r="AJ156" s="119"/>
    </row>
    <row r="157" spans="1:36" ht="13.45" customHeight="1" x14ac:dyDescent="0.35">
      <c r="A157" s="66"/>
      <c r="B157" s="66"/>
      <c r="E157" s="195"/>
      <c r="F157" s="196"/>
      <c r="G157" s="197"/>
      <c r="H157" s="195"/>
      <c r="I157" s="301"/>
      <c r="J157" s="301"/>
      <c r="K157" s="302"/>
      <c r="L157" s="130"/>
      <c r="M157" s="302"/>
      <c r="N157" s="302"/>
      <c r="O157" s="302"/>
      <c r="P157" s="302"/>
      <c r="Q157" s="303"/>
      <c r="R157" s="301"/>
      <c r="S157" s="301"/>
      <c r="T157" s="156"/>
      <c r="U157" s="305"/>
      <c r="V157" s="306"/>
      <c r="W157" s="307"/>
      <c r="X157" s="308"/>
      <c r="Y157" s="309"/>
      <c r="Z157" s="113"/>
      <c r="AA157" s="118"/>
      <c r="AB157" s="119"/>
      <c r="AC157" s="309"/>
      <c r="AD157" s="113"/>
      <c r="AE157" s="118"/>
      <c r="AF157" s="119"/>
      <c r="AH157" s="113"/>
      <c r="AI157" s="118"/>
      <c r="AJ157" s="119"/>
    </row>
    <row r="158" spans="1:36" ht="13.45" hidden="1" customHeight="1" outlineLevel="1" x14ac:dyDescent="0.35">
      <c r="A158" s="280" t="s">
        <v>249</v>
      </c>
      <c r="B158" s="66"/>
      <c r="E158" s="195"/>
      <c r="F158" s="196"/>
      <c r="G158" s="197"/>
      <c r="H158" s="195"/>
      <c r="I158" s="301"/>
      <c r="J158" s="301"/>
      <c r="K158" s="302"/>
      <c r="L158" s="130"/>
      <c r="M158" s="302"/>
      <c r="N158" s="302"/>
      <c r="O158" s="302"/>
      <c r="P158" s="302"/>
      <c r="Q158" s="303"/>
      <c r="R158" s="301"/>
      <c r="S158" s="301"/>
      <c r="T158" s="156"/>
      <c r="U158" s="305"/>
      <c r="V158" s="306"/>
      <c r="W158" s="307"/>
      <c r="X158" s="308"/>
      <c r="Y158" s="309"/>
      <c r="Z158" s="113"/>
      <c r="AA158" s="118"/>
      <c r="AB158" s="119"/>
      <c r="AC158" s="309"/>
      <c r="AD158" s="113"/>
      <c r="AE158" s="118"/>
      <c r="AF158" s="119"/>
      <c r="AH158" s="113"/>
      <c r="AI158" s="118"/>
      <c r="AJ158" s="119"/>
    </row>
    <row r="159" spans="1:36" ht="13.45" hidden="1" customHeight="1" outlineLevel="1" x14ac:dyDescent="0.35">
      <c r="A159" s="246" t="s">
        <v>250</v>
      </c>
      <c r="B159" s="66" t="s">
        <v>251</v>
      </c>
      <c r="E159" s="195"/>
      <c r="F159" s="196"/>
      <c r="G159" s="125">
        <f t="shared" ref="G159" si="134">E159-F159</f>
        <v>0</v>
      </c>
      <c r="H159" s="237"/>
      <c r="I159" s="301"/>
      <c r="J159" s="153">
        <f t="shared" ref="J159:J161" si="135">I159-H159</f>
        <v>0</v>
      </c>
      <c r="K159" s="302"/>
      <c r="L159" s="130"/>
      <c r="M159" s="302"/>
      <c r="N159" s="129">
        <f>K159+M159+L159</f>
        <v>0</v>
      </c>
      <c r="O159" s="129"/>
      <c r="P159" s="129">
        <f>N159+O159</f>
        <v>0</v>
      </c>
      <c r="Q159" s="157">
        <v>-2791201.21</v>
      </c>
      <c r="R159" s="155">
        <f>P159-Q159</f>
        <v>2791201.21</v>
      </c>
      <c r="S159" s="155">
        <f>SUM(Q159:R159)</f>
        <v>0</v>
      </c>
      <c r="T159" s="156" t="str">
        <f t="shared" ref="T159:T161" si="136">IF(ISERR(Q159/S159),"-",Q159/S159)</f>
        <v>-</v>
      </c>
      <c r="U159" s="217">
        <f>S159-I159</f>
        <v>0</v>
      </c>
      <c r="V159" s="310">
        <f>P159-S159</f>
        <v>0</v>
      </c>
      <c r="W159" s="227" t="str">
        <f t="shared" ref="W159:W161" si="137">IF(ISERR(V159/P159),"-",V159/P159)</f>
        <v>-</v>
      </c>
      <c r="X159" s="308"/>
      <c r="Y159" s="309"/>
      <c r="Z159" s="137">
        <f>'[1]2021-22'!C953</f>
        <v>25338.79</v>
      </c>
      <c r="AA159" s="226">
        <f>O159-Z159</f>
        <v>-25338.79</v>
      </c>
      <c r="AB159" s="227">
        <f>IF(ISERR(AA159/Z159),"-",AA159/Z159)</f>
        <v>-1</v>
      </c>
      <c r="AC159" s="309"/>
      <c r="AD159" s="137">
        <v>-2957.25</v>
      </c>
      <c r="AE159" s="226">
        <f>S159-AD159</f>
        <v>2957.25</v>
      </c>
      <c r="AF159" s="227">
        <f>IF(ISERR(AE159/AD159),"-",AE159/AD159)</f>
        <v>-1</v>
      </c>
      <c r="AH159" s="137">
        <v>-2312.87</v>
      </c>
      <c r="AI159" s="226">
        <f>S159-AH159</f>
        <v>2312.87</v>
      </c>
      <c r="AJ159" s="227">
        <f t="shared" ref="AJ159:AJ162" si="138">IF(ISERR(AI159/AH159),"-",AI159/AH159)</f>
        <v>-1</v>
      </c>
    </row>
    <row r="160" spans="1:36" ht="13.45" hidden="1" customHeight="1" outlineLevel="1" x14ac:dyDescent="0.35">
      <c r="A160" s="246" t="s">
        <v>252</v>
      </c>
      <c r="B160" s="66" t="s">
        <v>253</v>
      </c>
      <c r="E160" s="195"/>
      <c r="F160" s="196"/>
      <c r="G160" s="197"/>
      <c r="H160" s="175">
        <v>0</v>
      </c>
      <c r="I160" s="152"/>
      <c r="J160" s="153">
        <f t="shared" si="135"/>
        <v>0</v>
      </c>
      <c r="K160" s="142"/>
      <c r="L160" s="130"/>
      <c r="M160" s="141">
        <f>2100+68250+3500+500</f>
        <v>74350</v>
      </c>
      <c r="N160" s="142">
        <f>K160+M160+L160</f>
        <v>74350</v>
      </c>
      <c r="O160" s="142"/>
      <c r="P160" s="281">
        <f>N160+O160</f>
        <v>74350</v>
      </c>
      <c r="Q160" s="157">
        <f>808.05+11374.63+810750.38+672551.26+264409.35</f>
        <v>1759893.67</v>
      </c>
      <c r="R160" s="155">
        <f>P160-Q160</f>
        <v>-1685543.67</v>
      </c>
      <c r="S160" s="155">
        <f t="shared" ref="S160:S161" si="139">SUM(Q160:R160)</f>
        <v>74350</v>
      </c>
      <c r="T160" s="311">
        <f t="shared" si="136"/>
        <v>23.670392333557498</v>
      </c>
      <c r="U160" s="217">
        <f>S160-I160</f>
        <v>74350</v>
      </c>
      <c r="V160" s="310">
        <f t="shared" ref="V160:V161" si="140">P160-S160</f>
        <v>0</v>
      </c>
      <c r="W160" s="227">
        <f t="shared" si="137"/>
        <v>0</v>
      </c>
      <c r="X160" s="308"/>
      <c r="Y160" s="309"/>
      <c r="Z160" s="175">
        <f>'[1]2021-22'!C940+'[1]2021-22'!C948+'[1]2021-22'!C958+'[1]2021-22'!C964+'[1]2021-22'!C969+'[1]2021-22'!C975</f>
        <v>3363.37</v>
      </c>
      <c r="AA160" s="226">
        <f>O160-Z160</f>
        <v>-3363.37</v>
      </c>
      <c r="AB160" s="227">
        <f>IF(ISERR(AA160/Z160),"-",AA160/Z160)</f>
        <v>-1</v>
      </c>
      <c r="AC160" s="309"/>
      <c r="AD160" s="175">
        <v>114387.62</v>
      </c>
      <c r="AE160" s="226">
        <f>S160-AD160</f>
        <v>-40037.619999999995</v>
      </c>
      <c r="AF160" s="227">
        <f>IF(ISERR(AE160/AD160),"-",AE160/AD160)</f>
        <v>-0.35001707352596373</v>
      </c>
      <c r="AH160" s="175">
        <v>129246.45999999999</v>
      </c>
      <c r="AI160" s="226">
        <f>S160-AH160</f>
        <v>-54896.459999999992</v>
      </c>
      <c r="AJ160" s="227">
        <f t="shared" si="138"/>
        <v>-0.42474246490000572</v>
      </c>
    </row>
    <row r="161" spans="1:36" ht="13.45" hidden="1" customHeight="1" outlineLevel="1" x14ac:dyDescent="0.35">
      <c r="A161" s="246" t="s">
        <v>254</v>
      </c>
      <c r="B161" s="66" t="s">
        <v>255</v>
      </c>
      <c r="E161" s="195"/>
      <c r="F161" s="196"/>
      <c r="G161" s="196"/>
      <c r="H161" s="175"/>
      <c r="I161" s="152"/>
      <c r="J161" s="153">
        <f t="shared" si="135"/>
        <v>0</v>
      </c>
      <c r="K161" s="142"/>
      <c r="L161" s="130"/>
      <c r="M161" s="302"/>
      <c r="N161" s="142">
        <f>K161+M161+L161</f>
        <v>0</v>
      </c>
      <c r="O161" s="142"/>
      <c r="P161" s="281">
        <f>N161+O161</f>
        <v>0</v>
      </c>
      <c r="Q161" s="157">
        <v>135404.51999999999</v>
      </c>
      <c r="R161" s="155">
        <f>P161-Q161</f>
        <v>-135404.51999999999</v>
      </c>
      <c r="S161" s="155">
        <f t="shared" si="139"/>
        <v>0</v>
      </c>
      <c r="T161" s="312" t="str">
        <f t="shared" si="136"/>
        <v>-</v>
      </c>
      <c r="U161" s="217"/>
      <c r="V161" s="310">
        <f t="shared" si="140"/>
        <v>0</v>
      </c>
      <c r="W161" s="227" t="str">
        <f t="shared" si="137"/>
        <v>-</v>
      </c>
      <c r="X161" s="308"/>
      <c r="Y161" s="309"/>
      <c r="Z161" s="175"/>
      <c r="AA161" s="226"/>
      <c r="AB161" s="227"/>
      <c r="AC161" s="309"/>
      <c r="AD161" s="175"/>
      <c r="AE161" s="226"/>
      <c r="AF161" s="227"/>
      <c r="AH161" s="175"/>
      <c r="AI161" s="226"/>
      <c r="AJ161" s="227"/>
    </row>
    <row r="162" spans="1:36" ht="13.45" customHeight="1" collapsed="1" x14ac:dyDescent="0.35">
      <c r="A162" s="268" t="s">
        <v>256</v>
      </c>
      <c r="B162" s="66"/>
      <c r="E162" s="229">
        <f>E159</f>
        <v>0</v>
      </c>
      <c r="F162" s="290">
        <f>F159</f>
        <v>0</v>
      </c>
      <c r="G162" s="290">
        <f>G159</f>
        <v>0</v>
      </c>
      <c r="H162" s="269">
        <f>SUM(H159:H161)</f>
        <v>0</v>
      </c>
      <c r="I162" s="230">
        <f t="shared" ref="I162:J162" si="141">SUM(I159:I161)</f>
        <v>0</v>
      </c>
      <c r="J162" s="230">
        <f t="shared" si="141"/>
        <v>0</v>
      </c>
      <c r="K162" s="185">
        <f>SUM(K159:K161)</f>
        <v>0</v>
      </c>
      <c r="L162" s="313">
        <f t="shared" ref="L162:P162" si="142">SUM(L159:L161)</f>
        <v>0</v>
      </c>
      <c r="M162" s="185">
        <f t="shared" si="142"/>
        <v>74350</v>
      </c>
      <c r="N162" s="185">
        <f t="shared" si="142"/>
        <v>74350</v>
      </c>
      <c r="O162" s="185">
        <f t="shared" si="142"/>
        <v>0</v>
      </c>
      <c r="P162" s="185">
        <f t="shared" si="142"/>
        <v>74350</v>
      </c>
      <c r="Q162" s="187">
        <f>SUM(Q159:Q161)</f>
        <v>-895903.02</v>
      </c>
      <c r="R162" s="188">
        <f>SUM(R159:R161)</f>
        <v>970253.02</v>
      </c>
      <c r="S162" s="188">
        <f>SUM(S159:S161)</f>
        <v>74350</v>
      </c>
      <c r="T162" s="189">
        <v>0</v>
      </c>
      <c r="U162" s="232">
        <f>SUM(U159:U160)</f>
        <v>74350</v>
      </c>
      <c r="V162" s="190">
        <f>SUM(V159:V161)</f>
        <v>0</v>
      </c>
      <c r="W162" s="191">
        <f>IF(ISERR(V162/P162),"-",V162/P162)</f>
        <v>0</v>
      </c>
      <c r="X162" s="192"/>
      <c r="Y162" s="174"/>
      <c r="Z162" s="193">
        <f>SUM(Z159:Z160)</f>
        <v>28702.16</v>
      </c>
      <c r="AA162" s="233">
        <f>SUM(AA159:AA160)</f>
        <v>-28702.16</v>
      </c>
      <c r="AB162" s="191">
        <f>IF(ISERR(AA162/Z162),"-",AA162/Z162)</f>
        <v>-1</v>
      </c>
      <c r="AC162" s="174"/>
      <c r="AD162" s="193">
        <f>SUM(AD159:AD160)</f>
        <v>111430.37</v>
      </c>
      <c r="AE162" s="233">
        <f>SUM(AE159:AE160)</f>
        <v>-37080.369999999995</v>
      </c>
      <c r="AF162" s="191">
        <f>IF(ISERR(AE162/AD162),"-",AE162/AD162)</f>
        <v>-0.33276718007846512</v>
      </c>
      <c r="AH162" s="193">
        <v>126933.59</v>
      </c>
      <c r="AI162" s="233">
        <f>SUM(AI159:AI160)</f>
        <v>-52583.589999999989</v>
      </c>
      <c r="AJ162" s="191">
        <f t="shared" si="138"/>
        <v>-0.41426063818095737</v>
      </c>
    </row>
    <row r="163" spans="1:36" ht="13.45" customHeight="1" x14ac:dyDescent="0.35">
      <c r="A163" s="268"/>
      <c r="B163" s="66"/>
      <c r="E163" s="314"/>
      <c r="F163" s="315"/>
      <c r="G163" s="315"/>
      <c r="H163" s="200"/>
      <c r="I163" s="198"/>
      <c r="J163" s="140"/>
      <c r="K163" s="199"/>
      <c r="L163" s="130"/>
      <c r="M163" s="199"/>
      <c r="N163" s="199"/>
      <c r="O163" s="199"/>
      <c r="P163" s="199"/>
      <c r="Q163" s="200"/>
      <c r="R163" s="198"/>
      <c r="S163" s="198"/>
      <c r="T163" s="156"/>
      <c r="U163" s="316"/>
      <c r="V163" s="202"/>
      <c r="W163" s="227"/>
      <c r="X163" s="173"/>
      <c r="Y163" s="174"/>
      <c r="Z163" s="317"/>
      <c r="AA163" s="255"/>
      <c r="AB163" s="227"/>
      <c r="AC163" s="174"/>
      <c r="AD163" s="317"/>
      <c r="AE163" s="255"/>
      <c r="AF163" s="227"/>
      <c r="AH163" s="317"/>
      <c r="AI163" s="255"/>
      <c r="AJ163" s="227"/>
    </row>
    <row r="164" spans="1:36" ht="13.45" customHeight="1" x14ac:dyDescent="0.35">
      <c r="A164" s="66" t="s">
        <v>257</v>
      </c>
      <c r="B164" s="66"/>
      <c r="E164" s="195"/>
      <c r="F164" s="196"/>
      <c r="G164" s="197"/>
      <c r="H164" s="318">
        <f>-9261623+3044858</f>
        <v>-6216765</v>
      </c>
      <c r="I164" s="319">
        <f>-9261623+3044858</f>
        <v>-6216765</v>
      </c>
      <c r="J164" s="153">
        <f t="shared" ref="J164" si="143">I164-H164</f>
        <v>0</v>
      </c>
      <c r="K164" s="320"/>
      <c r="L164" s="130"/>
      <c r="M164" s="320"/>
      <c r="N164" s="320">
        <f>K164+M164+L164</f>
        <v>0</v>
      </c>
      <c r="O164" s="142"/>
      <c r="P164" s="321">
        <f>N164+O164</f>
        <v>0</v>
      </c>
      <c r="Q164" s="286">
        <v>0</v>
      </c>
      <c r="R164" s="286">
        <v>0</v>
      </c>
      <c r="S164" s="286">
        <f>Q164+R164</f>
        <v>0</v>
      </c>
      <c r="T164" s="322"/>
      <c r="U164" s="323"/>
      <c r="V164" s="286">
        <f>P164-S164</f>
        <v>0</v>
      </c>
      <c r="W164" s="307"/>
      <c r="X164" s="308"/>
      <c r="Y164" s="309"/>
      <c r="Z164" s="113"/>
      <c r="AA164" s="118"/>
      <c r="AB164" s="119"/>
      <c r="AC164" s="309"/>
      <c r="AD164" s="113"/>
      <c r="AE164" s="118"/>
      <c r="AF164" s="119"/>
      <c r="AH164" s="113"/>
      <c r="AI164" s="118"/>
      <c r="AJ164" s="119"/>
    </row>
    <row r="165" spans="1:36" ht="13.45" customHeight="1" x14ac:dyDescent="0.4">
      <c r="A165" s="66"/>
      <c r="B165" s="66"/>
      <c r="E165" s="195"/>
      <c r="F165" s="196"/>
      <c r="G165" s="197"/>
      <c r="H165" s="195"/>
      <c r="I165" s="324"/>
      <c r="J165" s="324"/>
      <c r="K165" s="325"/>
      <c r="L165" s="130"/>
      <c r="M165" s="325"/>
      <c r="N165" s="325"/>
      <c r="O165" s="325"/>
      <c r="P165" s="325"/>
      <c r="Q165" s="326"/>
      <c r="R165" s="324"/>
      <c r="S165" s="324"/>
      <c r="T165" s="324"/>
      <c r="U165" s="272"/>
      <c r="V165" s="212"/>
      <c r="W165" s="307"/>
      <c r="X165" s="308"/>
      <c r="Y165" s="309"/>
      <c r="Z165" s="113"/>
      <c r="AA165" s="118"/>
      <c r="AB165" s="119"/>
      <c r="AC165" s="309"/>
      <c r="AD165" s="113"/>
      <c r="AE165" s="118"/>
      <c r="AF165" s="119"/>
      <c r="AH165" s="113"/>
      <c r="AI165" s="118"/>
      <c r="AJ165" s="119"/>
    </row>
    <row r="166" spans="1:36" ht="13.45" customHeight="1" thickBot="1" x14ac:dyDescent="0.45">
      <c r="A166" s="268" t="s">
        <v>258</v>
      </c>
      <c r="B166" s="13"/>
      <c r="E166" s="327">
        <f>E22+E36+E55+E68+E75+E104+E116+E134+E155+E162</f>
        <v>0</v>
      </c>
      <c r="F166" s="328">
        <f>F22+F36+F55+F68+F75+F104+F116+F134+F155+F162</f>
        <v>3065.6499999999996</v>
      </c>
      <c r="G166" s="329">
        <f>G22+G36+G55+G68+G75+G104+G116+G134+G155+G162</f>
        <v>-3224.73</v>
      </c>
      <c r="H166" s="330">
        <f t="shared" ref="H166:S166" si="144">H22+H36+H55+H68+H75+H104+H116+H134+H155+H162+H164</f>
        <v>331316935</v>
      </c>
      <c r="I166" s="330">
        <f t="shared" si="144"/>
        <v>331316935</v>
      </c>
      <c r="J166" s="331">
        <f t="shared" si="144"/>
        <v>0</v>
      </c>
      <c r="K166" s="332">
        <f>K22+K36+K55+K68+K75+K104+K116+K134+K155+K162+K164+200</f>
        <v>337533900</v>
      </c>
      <c r="L166" s="333">
        <f t="shared" si="144"/>
        <v>-6216764.6699999999</v>
      </c>
      <c r="M166" s="332">
        <f t="shared" si="144"/>
        <v>8284723.4800000004</v>
      </c>
      <c r="N166" s="332">
        <f t="shared" si="144"/>
        <v>339601658.81</v>
      </c>
      <c r="O166" s="334">
        <f t="shared" si="144"/>
        <v>3046102.4600000004</v>
      </c>
      <c r="P166" s="332">
        <f t="shared" si="144"/>
        <v>342647761.26999998</v>
      </c>
      <c r="Q166" s="335">
        <f t="shared" si="144"/>
        <v>279954772.95000005</v>
      </c>
      <c r="R166" s="330">
        <f t="shared" si="144"/>
        <v>64622380.179902598</v>
      </c>
      <c r="S166" s="330">
        <f t="shared" si="144"/>
        <v>344577153.12990254</v>
      </c>
      <c r="T166" s="336">
        <f>IF(ISERR(Q166/S166),"-",Q166/S166)</f>
        <v>0.81245889463965582</v>
      </c>
      <c r="U166" s="337">
        <f>U22+U36+U55+U68+U75+U104+U116+U134+U155+U162</f>
        <v>7002469.1299026012</v>
      </c>
      <c r="V166" s="190">
        <f>V22+V36+V55+V68+V75+V104+V116+V134+V155+V162+V164</f>
        <v>-1929392.8599025856</v>
      </c>
      <c r="W166" s="191">
        <f>IF(ISERR(V166/P166),"-",V166/P166)</f>
        <v>-5.6308345711976225E-3</v>
      </c>
      <c r="X166" s="192"/>
      <c r="Y166" s="174"/>
      <c r="Z166" s="193">
        <f>Z22+Z36+Z55+Z68+Z75+Z104+Z116+Z134+Z155+Z162+Z164</f>
        <v>259068311.38</v>
      </c>
      <c r="AA166" s="233">
        <f>AA22+AA36+AA55+AA68+AA75+AA104+AA116+AA134+AA155+AA162</f>
        <v>-255046318.58999997</v>
      </c>
      <c r="AB166" s="191">
        <f>IF(ISERR(AA166/Z166),"-",AA166/Z166)</f>
        <v>-0.98447516499190602</v>
      </c>
      <c r="AC166" s="174"/>
      <c r="AD166" s="193">
        <f>AD22+AD36+AD55+AD68+AD75+AD104+AD116+AD134+AD155+AD162+AD164</f>
        <v>239341763.84</v>
      </c>
      <c r="AE166" s="233">
        <f>AE22+AE36+AE55+AE68+AE75+AE104+AE116+AE134+AE155+AE162</f>
        <v>100729711.93990257</v>
      </c>
      <c r="AF166" s="191">
        <f>IF(ISERR(AE166/AD166),"-",AE166/AD166)</f>
        <v>0.42086140890663948</v>
      </c>
      <c r="AH166" s="193">
        <v>232479825.28</v>
      </c>
      <c r="AI166" s="233">
        <f>AI22+AI36+AI55+AI68+AI75+AI104+AI116+AI134+AI155+AI162</f>
        <v>107569219.91990259</v>
      </c>
      <c r="AJ166" s="191">
        <f>IF(ISERR(AI166/AH166),"-",AI166/AH166)</f>
        <v>0.46270346164595411</v>
      </c>
    </row>
    <row r="167" spans="1:36" ht="13.45" customHeight="1" thickTop="1" x14ac:dyDescent="0.35">
      <c r="A167" s="7"/>
      <c r="B167" s="338"/>
      <c r="C167" s="7"/>
      <c r="D167" s="7"/>
      <c r="E167" s="339"/>
      <c r="F167" s="196"/>
      <c r="G167" s="339"/>
      <c r="H167" s="339"/>
      <c r="I167" s="294"/>
      <c r="J167" s="294"/>
      <c r="K167" s="294"/>
      <c r="L167" s="294"/>
      <c r="M167" s="294"/>
      <c r="V167" s="288"/>
      <c r="W167" s="340"/>
      <c r="X167" s="340"/>
      <c r="Y167" s="341"/>
      <c r="AC167" s="341"/>
    </row>
    <row r="168" spans="1:36" x14ac:dyDescent="0.35">
      <c r="F168" s="196"/>
    </row>
    <row r="169" spans="1:36" x14ac:dyDescent="0.35">
      <c r="F169" s="196"/>
    </row>
  </sheetData>
  <mergeCells count="12">
    <mergeCell ref="J4:N4"/>
    <mergeCell ref="I5:O5"/>
    <mergeCell ref="E6:G6"/>
    <mergeCell ref="H6:P6"/>
    <mergeCell ref="Q6:T6"/>
    <mergeCell ref="V6:W6"/>
    <mergeCell ref="E1:P1"/>
    <mergeCell ref="Q1:X1"/>
    <mergeCell ref="E2:P2"/>
    <mergeCell ref="Q2:X2"/>
    <mergeCell ref="E3:P3"/>
    <mergeCell ref="Q3:X3"/>
  </mergeCells>
  <pageMargins left="0.7" right="0.7" top="0.75" bottom="0.75" header="0.3" footer="0.3"/>
  <pageSetup paperSize="5" scale="6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Anglophone School Districts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Tracey, Shawn (ASD-W)</dc:creator>
  <cp:lastModifiedBy>Tracey, Shawn (ASD-W)</cp:lastModifiedBy>
  <cp:lastPrinted>2026-03-16T12:49:44Z</cp:lastPrinted>
  <dcterms:created xsi:type="dcterms:W3CDTF">2026-03-16T12:44:31Z</dcterms:created>
  <dcterms:modified xsi:type="dcterms:W3CDTF">2026-03-16T13:17:50Z</dcterms:modified>
</cp:coreProperties>
</file>