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bed-my.sharepoint.com/personal/shawn_tracey_nbed_nb_ca/Documents/_migrated_Aug_9-2023/Yr 2025-2026/DEC/EL 4 Financial Updates/"/>
    </mc:Choice>
  </mc:AlternateContent>
  <xr:revisionPtr revIDLastSave="15" documentId="8_{DFEEC301-C0D8-41ED-8763-6583FC49A25D}" xr6:coauthVersionLast="47" xr6:coauthVersionMax="47" xr10:uidLastSave="{AB336754-8D64-4FAE-A511-E401C795B480}"/>
  <bookViews>
    <workbookView xWindow="-120" yWindow="-120" windowWidth="57840" windowHeight="15840" xr2:uid="{21BD18E5-B31C-4748-88BA-F4984B9186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" i="1" l="1"/>
  <c r="P163" i="1"/>
  <c r="N163" i="1"/>
  <c r="H163" i="1"/>
  <c r="S165" i="1"/>
  <c r="N165" i="1"/>
  <c r="P165" i="1" s="1"/>
  <c r="V165" i="1" s="1"/>
  <c r="I165" i="1"/>
  <c r="H165" i="1"/>
  <c r="O161" i="1"/>
  <c r="N161" i="1"/>
  <c r="L161" i="1"/>
  <c r="K161" i="1"/>
  <c r="I161" i="1"/>
  <c r="H161" i="1"/>
  <c r="F161" i="1"/>
  <c r="E161" i="1"/>
  <c r="Q160" i="1"/>
  <c r="Q161" i="1" s="1"/>
  <c r="M160" i="1"/>
  <c r="P160" i="1" s="1"/>
  <c r="J160" i="1"/>
  <c r="M159" i="1"/>
  <c r="P159" i="1" s="1"/>
  <c r="J159" i="1"/>
  <c r="G159" i="1"/>
  <c r="G161" i="1" s="1"/>
  <c r="O155" i="1"/>
  <c r="N155" i="1"/>
  <c r="L155" i="1"/>
  <c r="K155" i="1"/>
  <c r="G155" i="1"/>
  <c r="F155" i="1"/>
  <c r="E155" i="1"/>
  <c r="M154" i="1"/>
  <c r="P154" i="1" s="1"/>
  <c r="J154" i="1"/>
  <c r="Q153" i="1"/>
  <c r="M153" i="1"/>
  <c r="P153" i="1" s="1"/>
  <c r="H153" i="1"/>
  <c r="J153" i="1" s="1"/>
  <c r="Q152" i="1"/>
  <c r="M152" i="1"/>
  <c r="P152" i="1" s="1"/>
  <c r="R152" i="1" s="1"/>
  <c r="S152" i="1" s="1"/>
  <c r="T152" i="1" s="1"/>
  <c r="J152" i="1"/>
  <c r="M151" i="1"/>
  <c r="P151" i="1" s="1"/>
  <c r="J151" i="1"/>
  <c r="M150" i="1"/>
  <c r="P150" i="1" s="1"/>
  <c r="J150" i="1"/>
  <c r="Q149" i="1"/>
  <c r="R149" i="1" s="1"/>
  <c r="S149" i="1" s="1"/>
  <c r="M149" i="1"/>
  <c r="P149" i="1" s="1"/>
  <c r="J149" i="1"/>
  <c r="R148" i="1"/>
  <c r="S148" i="1" s="1"/>
  <c r="M148" i="1"/>
  <c r="P148" i="1" s="1"/>
  <c r="V148" i="1" s="1"/>
  <c r="W148" i="1" s="1"/>
  <c r="J148" i="1"/>
  <c r="R147" i="1"/>
  <c r="S147" i="1" s="1"/>
  <c r="M147" i="1"/>
  <c r="P147" i="1" s="1"/>
  <c r="J147" i="1"/>
  <c r="M146" i="1"/>
  <c r="P146" i="1" s="1"/>
  <c r="I146" i="1"/>
  <c r="J146" i="1" s="1"/>
  <c r="S145" i="1"/>
  <c r="T145" i="1" s="1"/>
  <c r="M145" i="1"/>
  <c r="P145" i="1" s="1"/>
  <c r="J145" i="1"/>
  <c r="S144" i="1"/>
  <c r="U144" i="1" s="1"/>
  <c r="M144" i="1"/>
  <c r="P144" i="1" s="1"/>
  <c r="J144" i="1"/>
  <c r="Q143" i="1"/>
  <c r="R143" i="1" s="1"/>
  <c r="S143" i="1" s="1"/>
  <c r="M143" i="1"/>
  <c r="P143" i="1" s="1"/>
  <c r="J143" i="1"/>
  <c r="S142" i="1"/>
  <c r="U142" i="1" s="1"/>
  <c r="M142" i="1"/>
  <c r="P142" i="1" s="1"/>
  <c r="J142" i="1"/>
  <c r="Q141" i="1"/>
  <c r="R141" i="1" s="1"/>
  <c r="S141" i="1" s="1"/>
  <c r="M141" i="1"/>
  <c r="P141" i="1" s="1"/>
  <c r="V141" i="1" s="1"/>
  <c r="W141" i="1" s="1"/>
  <c r="J141" i="1"/>
  <c r="Q140" i="1"/>
  <c r="M140" i="1"/>
  <c r="P140" i="1" s="1"/>
  <c r="J140" i="1"/>
  <c r="S139" i="1"/>
  <c r="T139" i="1" s="1"/>
  <c r="M139" i="1"/>
  <c r="P139" i="1" s="1"/>
  <c r="J139" i="1"/>
  <c r="M138" i="1"/>
  <c r="P138" i="1" s="1"/>
  <c r="R138" i="1" s="1"/>
  <c r="J138" i="1"/>
  <c r="O132" i="1"/>
  <c r="N132" i="1"/>
  <c r="L132" i="1"/>
  <c r="K132" i="1"/>
  <c r="E132" i="1"/>
  <c r="M131" i="1"/>
  <c r="P131" i="1" s="1"/>
  <c r="J131" i="1"/>
  <c r="R130" i="1"/>
  <c r="S130" i="1" s="1"/>
  <c r="M130" i="1"/>
  <c r="P130" i="1" s="1"/>
  <c r="I130" i="1"/>
  <c r="H130" i="1"/>
  <c r="Q129" i="1"/>
  <c r="Q132" i="1" s="1"/>
  <c r="M129" i="1"/>
  <c r="P129" i="1" s="1"/>
  <c r="J129" i="1"/>
  <c r="R127" i="1"/>
  <c r="S127" i="1" s="1"/>
  <c r="M127" i="1"/>
  <c r="H127" i="1"/>
  <c r="J127" i="1" s="1"/>
  <c r="F127" i="1"/>
  <c r="F128" i="1" s="1"/>
  <c r="F132" i="1" s="1"/>
  <c r="Q124" i="1"/>
  <c r="N124" i="1"/>
  <c r="L124" i="1"/>
  <c r="K124" i="1"/>
  <c r="H124" i="1"/>
  <c r="G124" i="1"/>
  <c r="F124" i="1"/>
  <c r="E124" i="1"/>
  <c r="O123" i="1"/>
  <c r="O124" i="1" s="1"/>
  <c r="O134" i="1" s="1"/>
  <c r="M123" i="1"/>
  <c r="P123" i="1" s="1"/>
  <c r="R123" i="1" s="1"/>
  <c r="S123" i="1" s="1"/>
  <c r="J123" i="1"/>
  <c r="I123" i="1"/>
  <c r="I124" i="1" s="1"/>
  <c r="M122" i="1"/>
  <c r="J122" i="1"/>
  <c r="Q116" i="1"/>
  <c r="O116" i="1"/>
  <c r="N116" i="1"/>
  <c r="L116" i="1"/>
  <c r="K116" i="1"/>
  <c r="I116" i="1"/>
  <c r="E116" i="1"/>
  <c r="R115" i="1"/>
  <c r="S115" i="1" s="1"/>
  <c r="T115" i="1" s="1"/>
  <c r="M115" i="1"/>
  <c r="P115" i="1" s="1"/>
  <c r="J115" i="1"/>
  <c r="R114" i="1"/>
  <c r="S114" i="1" s="1"/>
  <c r="M114" i="1"/>
  <c r="P114" i="1" s="1"/>
  <c r="H114" i="1"/>
  <c r="J114" i="1" s="1"/>
  <c r="R113" i="1"/>
  <c r="S113" i="1" s="1"/>
  <c r="M113" i="1"/>
  <c r="P113" i="1" s="1"/>
  <c r="J113" i="1"/>
  <c r="R112" i="1"/>
  <c r="S112" i="1" s="1"/>
  <c r="M112" i="1"/>
  <c r="P112" i="1" s="1"/>
  <c r="J112" i="1"/>
  <c r="R111" i="1"/>
  <c r="S111" i="1" s="1"/>
  <c r="T111" i="1" s="1"/>
  <c r="M111" i="1"/>
  <c r="P111" i="1" s="1"/>
  <c r="V111" i="1" s="1"/>
  <c r="W111" i="1" s="1"/>
  <c r="J111" i="1"/>
  <c r="R110" i="1"/>
  <c r="S110" i="1" s="1"/>
  <c r="M110" i="1"/>
  <c r="P110" i="1" s="1"/>
  <c r="J110" i="1"/>
  <c r="F109" i="1"/>
  <c r="G109" i="1" s="1"/>
  <c r="G116" i="1" s="1"/>
  <c r="R108" i="1"/>
  <c r="M108" i="1"/>
  <c r="P108" i="1" s="1"/>
  <c r="H108" i="1"/>
  <c r="G108" i="1"/>
  <c r="Q104" i="1"/>
  <c r="O104" i="1"/>
  <c r="N104" i="1"/>
  <c r="L104" i="1"/>
  <c r="K104" i="1"/>
  <c r="I104" i="1"/>
  <c r="E104" i="1"/>
  <c r="P103" i="1"/>
  <c r="R103" i="1" s="1"/>
  <c r="S103" i="1" s="1"/>
  <c r="U103" i="1" s="1"/>
  <c r="M103" i="1"/>
  <c r="J103" i="1"/>
  <c r="R102" i="1"/>
  <c r="S102" i="1" s="1"/>
  <c r="U102" i="1" s="1"/>
  <c r="M102" i="1"/>
  <c r="P102" i="1" s="1"/>
  <c r="V102" i="1" s="1"/>
  <c r="W102" i="1" s="1"/>
  <c r="J102" i="1"/>
  <c r="R101" i="1"/>
  <c r="S101" i="1" s="1"/>
  <c r="M101" i="1"/>
  <c r="P101" i="1" s="1"/>
  <c r="J101" i="1"/>
  <c r="R100" i="1"/>
  <c r="S100" i="1" s="1"/>
  <c r="M100" i="1"/>
  <c r="P100" i="1" s="1"/>
  <c r="J100" i="1"/>
  <c r="S99" i="1"/>
  <c r="M99" i="1"/>
  <c r="P99" i="1" s="1"/>
  <c r="J99" i="1"/>
  <c r="R98" i="1"/>
  <c r="S98" i="1" s="1"/>
  <c r="M98" i="1"/>
  <c r="P98" i="1" s="1"/>
  <c r="J98" i="1"/>
  <c r="R97" i="1"/>
  <c r="S97" i="1" s="1"/>
  <c r="M97" i="1"/>
  <c r="P97" i="1" s="1"/>
  <c r="J97" i="1"/>
  <c r="R96" i="1"/>
  <c r="S96" i="1" s="1"/>
  <c r="U96" i="1" s="1"/>
  <c r="M96" i="1"/>
  <c r="P96" i="1" s="1"/>
  <c r="J96" i="1"/>
  <c r="S95" i="1"/>
  <c r="U95" i="1" s="1"/>
  <c r="M95" i="1"/>
  <c r="P95" i="1" s="1"/>
  <c r="J95" i="1"/>
  <c r="R94" i="1"/>
  <c r="S94" i="1" s="1"/>
  <c r="T94" i="1" s="1"/>
  <c r="M94" i="1"/>
  <c r="P94" i="1" s="1"/>
  <c r="H94" i="1"/>
  <c r="J94" i="1" s="1"/>
  <c r="S93" i="1"/>
  <c r="M93" i="1"/>
  <c r="P93" i="1" s="1"/>
  <c r="V93" i="1" s="1"/>
  <c r="W93" i="1" s="1"/>
  <c r="J93" i="1"/>
  <c r="R92" i="1"/>
  <c r="S92" i="1" s="1"/>
  <c r="M92" i="1"/>
  <c r="P92" i="1" s="1"/>
  <c r="J92" i="1"/>
  <c r="S91" i="1"/>
  <c r="T91" i="1" s="1"/>
  <c r="M91" i="1"/>
  <c r="P91" i="1" s="1"/>
  <c r="J91" i="1"/>
  <c r="S90" i="1"/>
  <c r="T90" i="1" s="1"/>
  <c r="M90" i="1"/>
  <c r="P90" i="1" s="1"/>
  <c r="J90" i="1"/>
  <c r="R89" i="1"/>
  <c r="S89" i="1" s="1"/>
  <c r="M89" i="1"/>
  <c r="P89" i="1" s="1"/>
  <c r="J89" i="1"/>
  <c r="R88" i="1"/>
  <c r="S88" i="1" s="1"/>
  <c r="M88" i="1"/>
  <c r="P88" i="1" s="1"/>
  <c r="J88" i="1"/>
  <c r="S87" i="1"/>
  <c r="U87" i="1" s="1"/>
  <c r="M87" i="1"/>
  <c r="P87" i="1" s="1"/>
  <c r="J87" i="1"/>
  <c r="R86" i="1"/>
  <c r="S86" i="1" s="1"/>
  <c r="U86" i="1" s="1"/>
  <c r="M86" i="1"/>
  <c r="P86" i="1" s="1"/>
  <c r="J86" i="1"/>
  <c r="R85" i="1"/>
  <c r="S85" i="1" s="1"/>
  <c r="M85" i="1"/>
  <c r="P85" i="1" s="1"/>
  <c r="J85" i="1"/>
  <c r="R84" i="1"/>
  <c r="S84" i="1" s="1"/>
  <c r="U84" i="1" s="1"/>
  <c r="M84" i="1"/>
  <c r="P84" i="1" s="1"/>
  <c r="H84" i="1"/>
  <c r="J84" i="1" s="1"/>
  <c r="R83" i="1"/>
  <c r="S83" i="1" s="1"/>
  <c r="U83" i="1" s="1"/>
  <c r="M83" i="1"/>
  <c r="P83" i="1" s="1"/>
  <c r="V83" i="1" s="1"/>
  <c r="W83" i="1" s="1"/>
  <c r="J83" i="1"/>
  <c r="R82" i="1"/>
  <c r="S82" i="1" s="1"/>
  <c r="U82" i="1" s="1"/>
  <c r="M82" i="1"/>
  <c r="P82" i="1" s="1"/>
  <c r="J82" i="1"/>
  <c r="R81" i="1"/>
  <c r="S81" i="1" s="1"/>
  <c r="M81" i="1"/>
  <c r="P81" i="1" s="1"/>
  <c r="V81" i="1" s="1"/>
  <c r="W81" i="1" s="1"/>
  <c r="J81" i="1"/>
  <c r="R79" i="1"/>
  <c r="M79" i="1"/>
  <c r="P79" i="1" s="1"/>
  <c r="H79" i="1"/>
  <c r="F79" i="1"/>
  <c r="F80" i="1" s="1"/>
  <c r="G80" i="1" s="1"/>
  <c r="Q75" i="1"/>
  <c r="O75" i="1"/>
  <c r="N75" i="1"/>
  <c r="L75" i="1"/>
  <c r="K75" i="1"/>
  <c r="I75" i="1"/>
  <c r="H75" i="1"/>
  <c r="G75" i="1"/>
  <c r="F75" i="1"/>
  <c r="E75" i="1"/>
  <c r="M74" i="1"/>
  <c r="P74" i="1" s="1"/>
  <c r="R74" i="1" s="1"/>
  <c r="S74" i="1" s="1"/>
  <c r="U74" i="1" s="1"/>
  <c r="J74" i="1"/>
  <c r="M73" i="1"/>
  <c r="M75" i="1" s="1"/>
  <c r="J73" i="1"/>
  <c r="M72" i="1"/>
  <c r="P72" i="1" s="1"/>
  <c r="J72" i="1"/>
  <c r="O68" i="1"/>
  <c r="N68" i="1"/>
  <c r="L68" i="1"/>
  <c r="K68" i="1"/>
  <c r="I68" i="1"/>
  <c r="H68" i="1"/>
  <c r="E68" i="1"/>
  <c r="S67" i="1"/>
  <c r="T67" i="1" s="1"/>
  <c r="M67" i="1"/>
  <c r="P67" i="1" s="1"/>
  <c r="V67" i="1" s="1"/>
  <c r="W67" i="1" s="1"/>
  <c r="J67" i="1"/>
  <c r="Q66" i="1"/>
  <c r="M66" i="1"/>
  <c r="P66" i="1" s="1"/>
  <c r="J66" i="1"/>
  <c r="M65" i="1"/>
  <c r="P65" i="1" s="1"/>
  <c r="J65" i="1"/>
  <c r="M64" i="1"/>
  <c r="P64" i="1" s="1"/>
  <c r="J64" i="1"/>
  <c r="S63" i="1"/>
  <c r="T63" i="1" s="1"/>
  <c r="M63" i="1"/>
  <c r="P63" i="1" s="1"/>
  <c r="V63" i="1" s="1"/>
  <c r="W63" i="1" s="1"/>
  <c r="J63" i="1"/>
  <c r="R62" i="1"/>
  <c r="S62" i="1" s="1"/>
  <c r="M62" i="1"/>
  <c r="P62" i="1" s="1"/>
  <c r="J62" i="1"/>
  <c r="M61" i="1"/>
  <c r="P61" i="1" s="1"/>
  <c r="J61" i="1"/>
  <c r="F60" i="1"/>
  <c r="F68" i="1" s="1"/>
  <c r="R59" i="1"/>
  <c r="S59" i="1" s="1"/>
  <c r="U59" i="1" s="1"/>
  <c r="M59" i="1"/>
  <c r="P59" i="1" s="1"/>
  <c r="J59" i="1"/>
  <c r="G59" i="1"/>
  <c r="O55" i="1"/>
  <c r="N55" i="1"/>
  <c r="L55" i="1"/>
  <c r="K55" i="1"/>
  <c r="I55" i="1"/>
  <c r="E55" i="1"/>
  <c r="Q54" i="1"/>
  <c r="Q55" i="1" s="1"/>
  <c r="M54" i="1"/>
  <c r="P54" i="1" s="1"/>
  <c r="J54" i="1"/>
  <c r="M53" i="1"/>
  <c r="P53" i="1" s="1"/>
  <c r="J53" i="1"/>
  <c r="M52" i="1"/>
  <c r="P52" i="1" s="1"/>
  <c r="R52" i="1" s="1"/>
  <c r="S52" i="1" s="1"/>
  <c r="J52" i="1"/>
  <c r="R51" i="1"/>
  <c r="S51" i="1" s="1"/>
  <c r="M51" i="1"/>
  <c r="P51" i="1" s="1"/>
  <c r="J51" i="1"/>
  <c r="R50" i="1"/>
  <c r="S50" i="1" s="1"/>
  <c r="M50" i="1"/>
  <c r="P50" i="1" s="1"/>
  <c r="J50" i="1"/>
  <c r="P49" i="1"/>
  <c r="M49" i="1"/>
  <c r="F49" i="1"/>
  <c r="G49" i="1" s="1"/>
  <c r="R48" i="1"/>
  <c r="S48" i="1" s="1"/>
  <c r="U48" i="1" s="1"/>
  <c r="M48" i="1"/>
  <c r="P48" i="1" s="1"/>
  <c r="H48" i="1"/>
  <c r="J48" i="1" s="1"/>
  <c r="G48" i="1"/>
  <c r="M47" i="1"/>
  <c r="P47" i="1" s="1"/>
  <c r="J47" i="1"/>
  <c r="M46" i="1"/>
  <c r="P46" i="1" s="1"/>
  <c r="R45" i="1"/>
  <c r="S45" i="1" s="1"/>
  <c r="T45" i="1" s="1"/>
  <c r="M45" i="1"/>
  <c r="P45" i="1" s="1"/>
  <c r="J45" i="1"/>
  <c r="F45" i="1"/>
  <c r="F46" i="1" s="1"/>
  <c r="G46" i="1" s="1"/>
  <c r="M44" i="1"/>
  <c r="P44" i="1" s="1"/>
  <c r="J44" i="1"/>
  <c r="R43" i="1"/>
  <c r="M43" i="1"/>
  <c r="P43" i="1" s="1"/>
  <c r="J43" i="1"/>
  <c r="R42" i="1"/>
  <c r="S42" i="1" s="1"/>
  <c r="U42" i="1" s="1"/>
  <c r="M42" i="1"/>
  <c r="P42" i="1" s="1"/>
  <c r="J42" i="1"/>
  <c r="F41" i="1"/>
  <c r="G41" i="1" s="1"/>
  <c r="R40" i="1"/>
  <c r="S40" i="1" s="1"/>
  <c r="U40" i="1" s="1"/>
  <c r="M40" i="1"/>
  <c r="P40" i="1" s="1"/>
  <c r="J40" i="1"/>
  <c r="G40" i="1"/>
  <c r="O36" i="1"/>
  <c r="N36" i="1"/>
  <c r="L36" i="1"/>
  <c r="K36" i="1"/>
  <c r="E36" i="1"/>
  <c r="R35" i="1"/>
  <c r="S35" i="1" s="1"/>
  <c r="P35" i="1"/>
  <c r="M35" i="1"/>
  <c r="J35" i="1"/>
  <c r="M34" i="1"/>
  <c r="R33" i="1"/>
  <c r="S33" i="1" s="1"/>
  <c r="M33" i="1"/>
  <c r="P33" i="1" s="1"/>
  <c r="H33" i="1"/>
  <c r="F33" i="1"/>
  <c r="G33" i="1" s="1"/>
  <c r="M32" i="1"/>
  <c r="P32" i="1" s="1"/>
  <c r="J32" i="1"/>
  <c r="M31" i="1"/>
  <c r="P31" i="1" s="1"/>
  <c r="J31" i="1"/>
  <c r="R30" i="1"/>
  <c r="S30" i="1" s="1"/>
  <c r="U30" i="1" s="1"/>
  <c r="M30" i="1"/>
  <c r="P30" i="1" s="1"/>
  <c r="J30" i="1"/>
  <c r="R29" i="1"/>
  <c r="S29" i="1" s="1"/>
  <c r="T29" i="1" s="1"/>
  <c r="M29" i="1"/>
  <c r="P29" i="1" s="1"/>
  <c r="V29" i="1" s="1"/>
  <c r="W29" i="1" s="1"/>
  <c r="J29" i="1"/>
  <c r="M28" i="1"/>
  <c r="R27" i="1"/>
  <c r="S27" i="1" s="1"/>
  <c r="M27" i="1"/>
  <c r="P27" i="1" s="1"/>
  <c r="I27" i="1"/>
  <c r="I36" i="1" s="1"/>
  <c r="H27" i="1"/>
  <c r="F27" i="1"/>
  <c r="F28" i="1" s="1"/>
  <c r="Q26" i="1"/>
  <c r="Q36" i="1" s="1"/>
  <c r="M26" i="1"/>
  <c r="P26" i="1" s="1"/>
  <c r="J26" i="1"/>
  <c r="O22" i="1"/>
  <c r="N22" i="1"/>
  <c r="L22" i="1"/>
  <c r="K22" i="1"/>
  <c r="F22" i="1"/>
  <c r="E22" i="1"/>
  <c r="M21" i="1"/>
  <c r="P21" i="1" s="1"/>
  <c r="J21" i="1"/>
  <c r="M20" i="1"/>
  <c r="P20" i="1" s="1"/>
  <c r="J20" i="1"/>
  <c r="R19" i="1"/>
  <c r="S19" i="1" s="1"/>
  <c r="T19" i="1" s="1"/>
  <c r="M19" i="1"/>
  <c r="P19" i="1" s="1"/>
  <c r="V19" i="1" s="1"/>
  <c r="W19" i="1" s="1"/>
  <c r="J19" i="1"/>
  <c r="Q18" i="1"/>
  <c r="M18" i="1"/>
  <c r="P18" i="1" s="1"/>
  <c r="J18" i="1"/>
  <c r="R17" i="1"/>
  <c r="S17" i="1" s="1"/>
  <c r="M17" i="1"/>
  <c r="P17" i="1" s="1"/>
  <c r="H17" i="1"/>
  <c r="J17" i="1" s="1"/>
  <c r="Q16" i="1"/>
  <c r="M16" i="1"/>
  <c r="P16" i="1" s="1"/>
  <c r="I16" i="1"/>
  <c r="J16" i="1" s="1"/>
  <c r="S15" i="1"/>
  <c r="T15" i="1" s="1"/>
  <c r="M15" i="1"/>
  <c r="P15" i="1" s="1"/>
  <c r="V15" i="1" s="1"/>
  <c r="W15" i="1" s="1"/>
  <c r="J15" i="1"/>
  <c r="U14" i="1"/>
  <c r="R14" i="1"/>
  <c r="S14" i="1" s="1"/>
  <c r="T14" i="1" s="1"/>
  <c r="M14" i="1"/>
  <c r="P14" i="1" s="1"/>
  <c r="J14" i="1"/>
  <c r="G13" i="1"/>
  <c r="G22" i="1" s="1"/>
  <c r="R12" i="1"/>
  <c r="S12" i="1" s="1"/>
  <c r="U12" i="1" s="1"/>
  <c r="M12" i="1"/>
  <c r="J12" i="1"/>
  <c r="G12" i="1"/>
  <c r="K134" i="1" l="1"/>
  <c r="J27" i="1"/>
  <c r="V14" i="1"/>
  <c r="W14" i="1" s="1"/>
  <c r="V27" i="1"/>
  <c r="W27" i="1" s="1"/>
  <c r="U139" i="1"/>
  <c r="R18" i="1"/>
  <c r="U27" i="1"/>
  <c r="V62" i="1"/>
  <c r="W62" i="1" s="1"/>
  <c r="V82" i="1"/>
  <c r="W82" i="1" s="1"/>
  <c r="V85" i="1"/>
  <c r="W85" i="1" s="1"/>
  <c r="G79" i="1"/>
  <c r="G104" i="1" s="1"/>
  <c r="J165" i="1"/>
  <c r="R26" i="1"/>
  <c r="R16" i="1"/>
  <c r="S16" i="1" s="1"/>
  <c r="V30" i="1"/>
  <c r="W30" i="1" s="1"/>
  <c r="V91" i="1"/>
  <c r="W91" i="1" s="1"/>
  <c r="V99" i="1"/>
  <c r="T112" i="1"/>
  <c r="U112" i="1"/>
  <c r="H55" i="1"/>
  <c r="H155" i="1"/>
  <c r="H22" i="1"/>
  <c r="I22" i="1"/>
  <c r="T83" i="1"/>
  <c r="V90" i="1"/>
  <c r="V101" i="1"/>
  <c r="W101" i="1" s="1"/>
  <c r="R129" i="1"/>
  <c r="V145" i="1"/>
  <c r="W145" i="1" s="1"/>
  <c r="U145" i="1"/>
  <c r="V84" i="1"/>
  <c r="W84" i="1" s="1"/>
  <c r="N134" i="1"/>
  <c r="V142" i="1"/>
  <c r="W142" i="1" s="1"/>
  <c r="J130" i="1"/>
  <c r="J132" i="1" s="1"/>
  <c r="J134" i="1" s="1"/>
  <c r="V16" i="1"/>
  <c r="W16" i="1" s="1"/>
  <c r="Q134" i="1"/>
  <c r="V139" i="1"/>
  <c r="W139" i="1" s="1"/>
  <c r="V112" i="1"/>
  <c r="W112" i="1" s="1"/>
  <c r="J124" i="1"/>
  <c r="U115" i="1"/>
  <c r="V17" i="1"/>
  <c r="W17" i="1" s="1"/>
  <c r="R54" i="1"/>
  <c r="S54" i="1" s="1"/>
  <c r="R160" i="1"/>
  <c r="S160" i="1" s="1"/>
  <c r="T84" i="1"/>
  <c r="I132" i="1"/>
  <c r="I134" i="1" s="1"/>
  <c r="G45" i="1"/>
  <c r="H104" i="1"/>
  <c r="V144" i="1"/>
  <c r="W144" i="1" s="1"/>
  <c r="V40" i="1"/>
  <c r="W40" i="1" s="1"/>
  <c r="V114" i="1"/>
  <c r="W114" i="1" s="1"/>
  <c r="V96" i="1"/>
  <c r="W96" i="1" s="1"/>
  <c r="V94" i="1"/>
  <c r="W94" i="1" s="1"/>
  <c r="R159" i="1"/>
  <c r="S159" i="1" s="1"/>
  <c r="P161" i="1"/>
  <c r="M161" i="1"/>
  <c r="J161" i="1"/>
  <c r="R153" i="1"/>
  <c r="S153" i="1" s="1"/>
  <c r="V153" i="1" s="1"/>
  <c r="W153" i="1" s="1"/>
  <c r="T144" i="1"/>
  <c r="V147" i="1"/>
  <c r="W147" i="1" s="1"/>
  <c r="T130" i="1"/>
  <c r="U130" i="1"/>
  <c r="F134" i="1"/>
  <c r="M124" i="1"/>
  <c r="L134" i="1"/>
  <c r="L167" i="1" s="1"/>
  <c r="M132" i="1"/>
  <c r="V130" i="1"/>
  <c r="W130" i="1" s="1"/>
  <c r="E134" i="1"/>
  <c r="P127" i="1"/>
  <c r="V113" i="1"/>
  <c r="W113" i="1" s="1"/>
  <c r="U98" i="1"/>
  <c r="T98" i="1"/>
  <c r="U91" i="1"/>
  <c r="T102" i="1"/>
  <c r="U94" i="1"/>
  <c r="V87" i="1"/>
  <c r="W87" i="1" s="1"/>
  <c r="V95" i="1"/>
  <c r="W95" i="1" s="1"/>
  <c r="V100" i="1"/>
  <c r="V98" i="1"/>
  <c r="W98" i="1" s="1"/>
  <c r="T87" i="1"/>
  <c r="P104" i="1"/>
  <c r="V88" i="1"/>
  <c r="W88" i="1" s="1"/>
  <c r="T96" i="1"/>
  <c r="R72" i="1"/>
  <c r="S72" i="1" s="1"/>
  <c r="V72" i="1" s="1"/>
  <c r="P73" i="1"/>
  <c r="P75" i="1" s="1"/>
  <c r="J75" i="1"/>
  <c r="T59" i="1"/>
  <c r="U63" i="1"/>
  <c r="G60" i="1"/>
  <c r="G68" i="1" s="1"/>
  <c r="U67" i="1"/>
  <c r="U50" i="1"/>
  <c r="T50" i="1"/>
  <c r="V50" i="1"/>
  <c r="W50" i="1" s="1"/>
  <c r="G55" i="1"/>
  <c r="J55" i="1"/>
  <c r="T42" i="1"/>
  <c r="V51" i="1"/>
  <c r="W51" i="1" s="1"/>
  <c r="V42" i="1"/>
  <c r="W42" i="1" s="1"/>
  <c r="U45" i="1"/>
  <c r="U29" i="1"/>
  <c r="T27" i="1"/>
  <c r="M36" i="1"/>
  <c r="R20" i="1"/>
  <c r="S20" i="1" s="1"/>
  <c r="U20" i="1" s="1"/>
  <c r="U19" i="1"/>
  <c r="M22" i="1"/>
  <c r="U15" i="1"/>
  <c r="R53" i="1"/>
  <c r="S53" i="1" s="1"/>
  <c r="R150" i="1"/>
  <c r="S150" i="1" s="1"/>
  <c r="V150" i="1" s="1"/>
  <c r="W150" i="1" s="1"/>
  <c r="T54" i="1"/>
  <c r="U54" i="1"/>
  <c r="U33" i="1"/>
  <c r="T33" i="1"/>
  <c r="S18" i="1"/>
  <c r="U18" i="1" s="1"/>
  <c r="U110" i="1"/>
  <c r="T110" i="1"/>
  <c r="U143" i="1"/>
  <c r="T143" i="1"/>
  <c r="V54" i="1"/>
  <c r="W54" i="1" s="1"/>
  <c r="R154" i="1"/>
  <c r="S154" i="1" s="1"/>
  <c r="T12" i="1"/>
  <c r="U17" i="1"/>
  <c r="T17" i="1"/>
  <c r="V35" i="1"/>
  <c r="W35" i="1" s="1"/>
  <c r="R44" i="1"/>
  <c r="S44" i="1" s="1"/>
  <c r="V44" i="1" s="1"/>
  <c r="W44" i="1" s="1"/>
  <c r="T48" i="1"/>
  <c r="R61" i="1"/>
  <c r="S61" i="1" s="1"/>
  <c r="T74" i="1"/>
  <c r="U81" i="1"/>
  <c r="T81" i="1"/>
  <c r="V86" i="1"/>
  <c r="W86" i="1" s="1"/>
  <c r="P122" i="1"/>
  <c r="R146" i="1"/>
  <c r="S146" i="1" s="1"/>
  <c r="V146" i="1" s="1"/>
  <c r="W146" i="1" s="1"/>
  <c r="P36" i="1"/>
  <c r="R32" i="1"/>
  <c r="S32" i="1" s="1"/>
  <c r="V32" i="1" s="1"/>
  <c r="W32" i="1" s="1"/>
  <c r="R64" i="1"/>
  <c r="S64" i="1" s="1"/>
  <c r="U88" i="1"/>
  <c r="T88" i="1"/>
  <c r="V103" i="1"/>
  <c r="W103" i="1" s="1"/>
  <c r="U113" i="1"/>
  <c r="T113" i="1"/>
  <c r="T127" i="1"/>
  <c r="U127" i="1"/>
  <c r="V149" i="1"/>
  <c r="W149" i="1" s="1"/>
  <c r="R161" i="1"/>
  <c r="R65" i="1"/>
  <c r="S65" i="1" s="1"/>
  <c r="V65" i="1" s="1"/>
  <c r="W65" i="1" s="1"/>
  <c r="U16" i="1"/>
  <c r="T16" i="1"/>
  <c r="N167" i="1"/>
  <c r="T30" i="1"/>
  <c r="P55" i="1"/>
  <c r="U62" i="1"/>
  <c r="T62" i="1"/>
  <c r="R73" i="1"/>
  <c r="S73" i="1" s="1"/>
  <c r="V73" i="1" s="1"/>
  <c r="W73" i="1" s="1"/>
  <c r="T82" i="1"/>
  <c r="V89" i="1"/>
  <c r="W89" i="1" s="1"/>
  <c r="V92" i="1"/>
  <c r="W92" i="1" s="1"/>
  <c r="U114" i="1"/>
  <c r="T114" i="1"/>
  <c r="M116" i="1"/>
  <c r="V123" i="1"/>
  <c r="W123" i="1" s="1"/>
  <c r="R131" i="1"/>
  <c r="R140" i="1"/>
  <c r="S140" i="1" s="1"/>
  <c r="V140" i="1" s="1"/>
  <c r="T147" i="1"/>
  <c r="T160" i="1"/>
  <c r="U160" i="1"/>
  <c r="U35" i="1"/>
  <c r="T35" i="1"/>
  <c r="S26" i="1"/>
  <c r="T26" i="1" s="1"/>
  <c r="P68" i="1"/>
  <c r="O167" i="1"/>
  <c r="V33" i="1"/>
  <c r="W33" i="1" s="1"/>
  <c r="K167" i="1"/>
  <c r="U52" i="1"/>
  <c r="T52" i="1"/>
  <c r="U89" i="1"/>
  <c r="T89" i="1"/>
  <c r="F104" i="1"/>
  <c r="P116" i="1"/>
  <c r="U123" i="1"/>
  <c r="T123" i="1"/>
  <c r="J155" i="1"/>
  <c r="V143" i="1"/>
  <c r="W143" i="1" s="1"/>
  <c r="U147" i="1"/>
  <c r="R47" i="1"/>
  <c r="S47" i="1" s="1"/>
  <c r="V47" i="1" s="1"/>
  <c r="J68" i="1"/>
  <c r="T86" i="1"/>
  <c r="T103" i="1"/>
  <c r="U152" i="1"/>
  <c r="U101" i="1"/>
  <c r="T101" i="1"/>
  <c r="U111" i="1"/>
  <c r="V152" i="1"/>
  <c r="W152" i="1" s="1"/>
  <c r="G28" i="1"/>
  <c r="V52" i="1"/>
  <c r="W52" i="1" s="1"/>
  <c r="S66" i="1"/>
  <c r="U66" i="1" s="1"/>
  <c r="Q68" i="1"/>
  <c r="R104" i="1"/>
  <c r="T92" i="1"/>
  <c r="U92" i="1"/>
  <c r="T97" i="1"/>
  <c r="U97" i="1"/>
  <c r="R116" i="1"/>
  <c r="S108" i="1"/>
  <c r="V108" i="1" s="1"/>
  <c r="M155" i="1"/>
  <c r="R151" i="1"/>
  <c r="S151" i="1" s="1"/>
  <c r="V151" i="1" s="1"/>
  <c r="W151" i="1" s="1"/>
  <c r="U153" i="1"/>
  <c r="H36" i="1"/>
  <c r="J33" i="1"/>
  <c r="J36" i="1" s="1"/>
  <c r="J108" i="1"/>
  <c r="J116" i="1" s="1"/>
  <c r="H116" i="1"/>
  <c r="J22" i="1"/>
  <c r="R21" i="1"/>
  <c r="S21" i="1" s="1"/>
  <c r="R31" i="1"/>
  <c r="S31" i="1" s="1"/>
  <c r="M55" i="1"/>
  <c r="V45" i="1"/>
  <c r="W45" i="1" s="1"/>
  <c r="V59" i="1"/>
  <c r="R66" i="1"/>
  <c r="V97" i="1"/>
  <c r="W97" i="1" s="1"/>
  <c r="V115" i="1"/>
  <c r="W115" i="1" s="1"/>
  <c r="P155" i="1"/>
  <c r="U149" i="1"/>
  <c r="T149" i="1"/>
  <c r="S138" i="1"/>
  <c r="V138" i="1" s="1"/>
  <c r="W138" i="1" s="1"/>
  <c r="T51" i="1"/>
  <c r="U51" i="1"/>
  <c r="Q22" i="1"/>
  <c r="E167" i="1"/>
  <c r="F55" i="1"/>
  <c r="V48" i="1"/>
  <c r="W48" i="1" s="1"/>
  <c r="V74" i="1"/>
  <c r="W74" i="1" s="1"/>
  <c r="U85" i="1"/>
  <c r="T85" i="1"/>
  <c r="T93" i="1"/>
  <c r="U93" i="1"/>
  <c r="M104" i="1"/>
  <c r="V110" i="1"/>
  <c r="W110" i="1" s="1"/>
  <c r="U141" i="1"/>
  <c r="T141" i="1"/>
  <c r="U148" i="1"/>
  <c r="T148" i="1"/>
  <c r="P12" i="1"/>
  <c r="M68" i="1"/>
  <c r="J79" i="1"/>
  <c r="J104" i="1" s="1"/>
  <c r="H132" i="1"/>
  <c r="H134" i="1" s="1"/>
  <c r="Q155" i="1"/>
  <c r="V160" i="1"/>
  <c r="W160" i="1" s="1"/>
  <c r="S43" i="1"/>
  <c r="V43" i="1" s="1"/>
  <c r="W43" i="1" s="1"/>
  <c r="S79" i="1"/>
  <c r="G127" i="1"/>
  <c r="G132" i="1" s="1"/>
  <c r="G134" i="1" s="1"/>
  <c r="T142" i="1"/>
  <c r="I155" i="1"/>
  <c r="G27" i="1"/>
  <c r="T95" i="1"/>
  <c r="F116" i="1"/>
  <c r="F34" i="1"/>
  <c r="G34" i="1" s="1"/>
  <c r="T40" i="1"/>
  <c r="S129" i="1"/>
  <c r="I167" i="1" l="1"/>
  <c r="T153" i="1"/>
  <c r="R155" i="1"/>
  <c r="P132" i="1"/>
  <c r="V127" i="1"/>
  <c r="W127" i="1" s="1"/>
  <c r="M134" i="1"/>
  <c r="S68" i="1"/>
  <c r="T68" i="1" s="1"/>
  <c r="M167" i="1"/>
  <c r="V18" i="1"/>
  <c r="W18" i="1" s="1"/>
  <c r="V20" i="1"/>
  <c r="W20" i="1" s="1"/>
  <c r="T20" i="1"/>
  <c r="W47" i="1"/>
  <c r="H167" i="1"/>
  <c r="U31" i="1"/>
  <c r="T31" i="1"/>
  <c r="U79" i="1"/>
  <c r="U104" i="1" s="1"/>
  <c r="T79" i="1"/>
  <c r="S104" i="1"/>
  <c r="T104" i="1" s="1"/>
  <c r="V31" i="1"/>
  <c r="W31" i="1" s="1"/>
  <c r="U65" i="1"/>
  <c r="T65" i="1"/>
  <c r="P124" i="1"/>
  <c r="R122" i="1"/>
  <c r="T66" i="1"/>
  <c r="W140" i="1"/>
  <c r="U43" i="1"/>
  <c r="T43" i="1"/>
  <c r="R22" i="1"/>
  <c r="S22" i="1"/>
  <c r="T22" i="1" s="1"/>
  <c r="U73" i="1"/>
  <c r="T73" i="1"/>
  <c r="U21" i="1"/>
  <c r="U22" i="1" s="1"/>
  <c r="T21" i="1"/>
  <c r="U154" i="1"/>
  <c r="T154" i="1"/>
  <c r="R36" i="1"/>
  <c r="R68" i="1"/>
  <c r="V75" i="1"/>
  <c r="W75" i="1" s="1"/>
  <c r="W72" i="1"/>
  <c r="V154" i="1"/>
  <c r="W154" i="1" s="1"/>
  <c r="T18" i="1"/>
  <c r="S116" i="1"/>
  <c r="T116" i="1" s="1"/>
  <c r="U108" i="1"/>
  <c r="U116" i="1" s="1"/>
  <c r="T108" i="1"/>
  <c r="G36" i="1"/>
  <c r="G167" i="1" s="1"/>
  <c r="U72" i="1"/>
  <c r="S75" i="1"/>
  <c r="T75" i="1" s="1"/>
  <c r="T72" i="1"/>
  <c r="T64" i="1"/>
  <c r="U64" i="1"/>
  <c r="V61" i="1"/>
  <c r="W61" i="1" s="1"/>
  <c r="U129" i="1"/>
  <c r="U132" i="1" s="1"/>
  <c r="T129" i="1"/>
  <c r="U151" i="1"/>
  <c r="T151" i="1"/>
  <c r="W108" i="1"/>
  <c r="V116" i="1"/>
  <c r="W116" i="1" s="1"/>
  <c r="U26" i="1"/>
  <c r="V26" i="1"/>
  <c r="S36" i="1"/>
  <c r="T36" i="1" s="1"/>
  <c r="J167" i="1"/>
  <c r="V129" i="1"/>
  <c r="S161" i="1"/>
  <c r="T161" i="1" s="1"/>
  <c r="V159" i="1"/>
  <c r="T159" i="1"/>
  <c r="U159" i="1"/>
  <c r="U161" i="1" s="1"/>
  <c r="F36" i="1"/>
  <c r="F167" i="1" s="1"/>
  <c r="V79" i="1"/>
  <c r="R75" i="1"/>
  <c r="V64" i="1"/>
  <c r="W64" i="1" s="1"/>
  <c r="R132" i="1"/>
  <c r="S131" i="1"/>
  <c r="S132" i="1" s="1"/>
  <c r="V21" i="1"/>
  <c r="W21" i="1" s="1"/>
  <c r="U47" i="1"/>
  <c r="T47" i="1"/>
  <c r="Q167" i="1"/>
  <c r="S55" i="1"/>
  <c r="T55" i="1" s="1"/>
  <c r="U61" i="1"/>
  <c r="T61" i="1"/>
  <c r="W59" i="1"/>
  <c r="V66" i="1"/>
  <c r="W66" i="1" s="1"/>
  <c r="U32" i="1"/>
  <c r="T32" i="1"/>
  <c r="U44" i="1"/>
  <c r="T44" i="1"/>
  <c r="U150" i="1"/>
  <c r="T150" i="1"/>
  <c r="V12" i="1"/>
  <c r="P22" i="1"/>
  <c r="U138" i="1"/>
  <c r="T138" i="1"/>
  <c r="S155" i="1"/>
  <c r="T155" i="1" s="1"/>
  <c r="U140" i="1"/>
  <c r="T140" i="1"/>
  <c r="U53" i="1"/>
  <c r="T53" i="1"/>
  <c r="R55" i="1"/>
  <c r="U146" i="1"/>
  <c r="T146" i="1"/>
  <c r="V53" i="1"/>
  <c r="W53" i="1" s="1"/>
  <c r="P134" i="1" l="1"/>
  <c r="P167" i="1" s="1"/>
  <c r="U68" i="1"/>
  <c r="V161" i="1"/>
  <c r="W161" i="1" s="1"/>
  <c r="W159" i="1"/>
  <c r="W12" i="1"/>
  <c r="V22" i="1"/>
  <c r="W129" i="1"/>
  <c r="U155" i="1"/>
  <c r="T131" i="1"/>
  <c r="T132" i="1" s="1"/>
  <c r="V131" i="1"/>
  <c r="W131" i="1" s="1"/>
  <c r="U55" i="1"/>
  <c r="W26" i="1"/>
  <c r="V36" i="1"/>
  <c r="W36" i="1" s="1"/>
  <c r="V68" i="1"/>
  <c r="W68" i="1" s="1"/>
  <c r="U36" i="1"/>
  <c r="U75" i="1"/>
  <c r="V155" i="1"/>
  <c r="W155" i="1" s="1"/>
  <c r="W79" i="1"/>
  <c r="V104" i="1"/>
  <c r="W104" i="1" s="1"/>
  <c r="R124" i="1"/>
  <c r="R134" i="1" s="1"/>
  <c r="R167" i="1" s="1"/>
  <c r="S122" i="1"/>
  <c r="V55" i="1"/>
  <c r="W55" i="1" s="1"/>
  <c r="V132" i="1" l="1"/>
  <c r="W132" i="1" s="1"/>
  <c r="W22" i="1"/>
  <c r="U122" i="1"/>
  <c r="U124" i="1" s="1"/>
  <c r="U134" i="1" s="1"/>
  <c r="U167" i="1" s="1"/>
  <c r="T122" i="1"/>
  <c r="S124" i="1"/>
  <c r="V122" i="1"/>
  <c r="W122" i="1" l="1"/>
  <c r="V124" i="1"/>
  <c r="T124" i="1"/>
  <c r="S134" i="1"/>
  <c r="T134" i="1" l="1"/>
  <c r="S167" i="1"/>
  <c r="T167" i="1" s="1"/>
  <c r="V134" i="1"/>
  <c r="W124" i="1"/>
  <c r="W134" i="1" l="1"/>
  <c r="V167" i="1"/>
  <c r="W1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Tutt</author>
  </authors>
  <commentList>
    <comment ref="H12" authorId="0" shapeId="0" xr:uid="{D2034615-61B4-47FD-9375-D49463684A25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30 day MAT leaves and certification &amp; experience awards.
</t>
        </r>
      </text>
    </comment>
    <comment ref="C15" authorId="0" shapeId="0" xr:uid="{B9B91653-D392-481E-908F-4F5FD953B44E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travel, meeting expenses, extra- and co-curricular trips, copying, telecom, office &amp; computer supplies, office equipment repair, &amp; classroom equipment.</t>
        </r>
      </text>
    </comment>
    <comment ref="H15" authorId="0" shapeId="0" xr:uid="{5FFD55F6-8EA7-4648-8B15-35F35393546D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OE funding &amp; OE Funding for teachers included in District Specific funding.
</t>
        </r>
      </text>
    </comment>
    <comment ref="C16" authorId="0" shapeId="0" xr:uid="{A6883881-138A-430F-8F05-B64F16846352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instructional materials, textbooks, library materials, and subscriptions.</t>
        </r>
      </text>
    </comment>
    <comment ref="F27" authorId="0" shapeId="0" xr:uid="{A700BCD0-8326-49CE-8A46-301121170CCA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EAs &amp; Student Attendants.
</t>
        </r>
      </text>
    </comment>
    <comment ref="F33" authorId="0" shapeId="0" xr:uid="{9B8AB3E5-1829-44C0-A25F-A5D0C41E3EC9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SIWs and Behaviour Intervention Mentors.</t>
        </r>
      </text>
    </comment>
    <comment ref="D45" authorId="0" shapeId="0" xr:uid="{EB16C95F-A19E-4CE1-8FE4-EB4EF877D67B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School Psychologists, and staff for the Support Services to Education (SSE) &amp; Talk with Me (TWM) programs.</t>
        </r>
      </text>
    </comment>
    <comment ref="H63" authorId="0" shapeId="0" xr:uid="{1A5639EF-86E5-4B25-AB90-3BC16BA77D3F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Nutritional Literacy funding.</t>
        </r>
      </text>
    </comment>
    <comment ref="F79" authorId="0" shapeId="0" xr:uid="{89C5F797-0698-430B-8573-20EB464F8B5E}">
      <text>
        <r>
          <rPr>
            <b/>
            <sz val="9"/>
            <color indexed="81"/>
            <rFont val="Tahoma"/>
            <charset val="1"/>
          </rPr>
          <t>Kevin Tutt:</t>
        </r>
        <r>
          <rPr>
            <sz val="9"/>
            <color indexed="81"/>
            <rFont val="Tahoma"/>
            <charset val="1"/>
          </rPr>
          <t xml:space="preserve">
Includes Hanwell Park Academy custodians.</t>
        </r>
      </text>
    </comment>
    <comment ref="H95" authorId="0" shapeId="0" xr:uid="{798C3416-BC05-4DA1-BDCD-E840B783C027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school site remediation funding.</t>
        </r>
      </text>
    </comment>
    <comment ref="H108" authorId="0" shapeId="0" xr:uid="{174F5F02-436B-4604-80EE-D2D00EABC28C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Bus Driver Coaches.</t>
        </r>
      </text>
    </comment>
    <comment ref="C127" authorId="0" shapeId="0" xr:uid="{72FA8114-A002-4F78-ADCE-7EAE04467F74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Office of the Superintendent and Education Support Centres.</t>
        </r>
      </text>
    </comment>
    <comment ref="F127" authorId="0" shapeId="0" xr:uid="{8B728D8E-6CB1-414F-84EE-B64B4D9B4191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Excludes ITSS staff and   includes Experiential Learning Coordinators,  Occupational Health &amp; Wellness Coordinators, and additional Asst. Transportation Manager.</t>
        </r>
      </text>
    </comment>
    <comment ref="F128" authorId="0" shapeId="0" xr:uid="{A4F189D4-739C-4BB4-AB25-61F0468F583A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Excludes ITSS staff and   includes Experiential Learning Coordinators,  Occupational Health &amp; Wellness Coordinators.</t>
        </r>
      </text>
    </comment>
    <comment ref="H130" authorId="0" shapeId="0" xr:uid="{958844FE-8F9C-4C3D-9DF9-CE71847915E1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print optimization rate increase funding, and OE for ISD &amp; Experiential Learning Coordinators and reciprocal tax agreement</t>
        </r>
      </text>
    </comment>
    <comment ref="H153" authorId="0" shapeId="0" xr:uid="{F8800D30-246A-4E8F-ABE5-8E38A0BC594F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Tool allowance, &amp; safety boot allowance.</t>
        </r>
      </text>
    </comment>
  </commentList>
</comments>
</file>

<file path=xl/sharedStrings.xml><?xml version="1.0" encoding="utf-8"?>
<sst xmlns="http://schemas.openxmlformats.org/spreadsheetml/2006/main" count="291" uniqueCount="252">
  <si>
    <t>ANGLOPHONE SCHOOL DISTRICT - WEST</t>
  </si>
  <si>
    <t>FINANCIAL REPORT-EXPENDITURE PLAN PRELIMINARY</t>
  </si>
  <si>
    <t>FOR THE YEAR ENDING MARCH 31, 2026</t>
  </si>
  <si>
    <t xml:space="preserve"> </t>
  </si>
  <si>
    <t>Coding</t>
  </si>
  <si>
    <t>Description</t>
  </si>
  <si>
    <t>FTEs</t>
  </si>
  <si>
    <t>Budget</t>
  </si>
  <si>
    <t>Expenses</t>
  </si>
  <si>
    <t>Change</t>
  </si>
  <si>
    <t>Variance</t>
  </si>
  <si>
    <t>Variance Explanation &gt;=$500,000</t>
  </si>
  <si>
    <t>Actual</t>
  </si>
  <si>
    <t>Funded</t>
  </si>
  <si>
    <t>Increase /</t>
  </si>
  <si>
    <t>Original</t>
  </si>
  <si>
    <t>District</t>
  </si>
  <si>
    <t>Quarterly</t>
  </si>
  <si>
    <t xml:space="preserve">Other </t>
  </si>
  <si>
    <t>Oracle</t>
  </si>
  <si>
    <t>Final</t>
  </si>
  <si>
    <t>Year-to-Date</t>
  </si>
  <si>
    <t>Forecast</t>
  </si>
  <si>
    <t>Total</t>
  </si>
  <si>
    <t>% Spent</t>
  </si>
  <si>
    <t>from last</t>
  </si>
  <si>
    <t>Amount</t>
  </si>
  <si>
    <t>%</t>
  </si>
  <si>
    <t>Staffing changes, vacancies, replacement policy changes, consumption changes,</t>
  </si>
  <si>
    <t>(Decrease)</t>
  </si>
  <si>
    <t>Funding</t>
  </si>
  <si>
    <t>Expenditure</t>
  </si>
  <si>
    <t>Transfers</t>
  </si>
  <si>
    <t xml:space="preserve">Transfers </t>
  </si>
  <si>
    <t>to-Date</t>
  </si>
  <si>
    <t>Financial</t>
  </si>
  <si>
    <t>price changes, in-year contract additions</t>
  </si>
  <si>
    <t>Plan</t>
  </si>
  <si>
    <t>Received</t>
  </si>
  <si>
    <t>Pending</t>
  </si>
  <si>
    <t>Report</t>
  </si>
  <si>
    <t>INSTRUCTION &amp; SCHOOL SERVICES</t>
  </si>
  <si>
    <t>P71100-3431</t>
  </si>
  <si>
    <t>Teacher Salaries</t>
  </si>
  <si>
    <t>Apr.-Aug.</t>
  </si>
  <si>
    <t>Sep.-Mar.</t>
  </si>
  <si>
    <t>P71100-3467</t>
  </si>
  <si>
    <t>Supply Teachers</t>
  </si>
  <si>
    <t>P71100-4904</t>
  </si>
  <si>
    <t>School Operating Expenses</t>
  </si>
  <si>
    <t>P71100-5189</t>
  </si>
  <si>
    <t>Instructional Materials</t>
  </si>
  <si>
    <t>District Office Expenses Lead travel</t>
  </si>
  <si>
    <t>P72203-3431</t>
  </si>
  <si>
    <t>Teacher Educational Leaves</t>
  </si>
  <si>
    <t>P72204-4904</t>
  </si>
  <si>
    <t>Out of Province travel</t>
  </si>
  <si>
    <t>P72209-5189</t>
  </si>
  <si>
    <t>Teachers' Working Conditions Fund</t>
  </si>
  <si>
    <t>P75200-3451</t>
  </si>
  <si>
    <t>Co/Extra Curricular Trips</t>
  </si>
  <si>
    <t>TOTAL INSTRUCTION &amp; SCHOOL SERVICES</t>
  </si>
  <si>
    <t>EDUCATION &amp; SUPPORT SERVICES</t>
  </si>
  <si>
    <t>P71300-4904</t>
  </si>
  <si>
    <t>Operating Expenses</t>
  </si>
  <si>
    <t>P72301-3431</t>
  </si>
  <si>
    <t>Educational Assistant (EA) Wages</t>
  </si>
  <si>
    <t>P72301-3451</t>
  </si>
  <si>
    <t>EA Casual Pay</t>
  </si>
  <si>
    <t>P72301-3466</t>
  </si>
  <si>
    <t>EA Replacement Costs</t>
  </si>
  <si>
    <t>P73101-3451</t>
  </si>
  <si>
    <t>Tutor Support</t>
  </si>
  <si>
    <t>P73301-3451</t>
  </si>
  <si>
    <t>Home/Hospital Tutoring</t>
  </si>
  <si>
    <t>P73902-3431</t>
  </si>
  <si>
    <t>Positive Learning Environment</t>
  </si>
  <si>
    <t>P73902-3451</t>
  </si>
  <si>
    <t>PLEP Casual Pay</t>
  </si>
  <si>
    <t>TOTAL EDUCATION &amp; SUPPORT SERVICES</t>
  </si>
  <si>
    <t>SCHOOL MANAGEMENT &amp; SUPPORT</t>
  </si>
  <si>
    <t>P72100-3431</t>
  </si>
  <si>
    <t>School Administrative Assistant (SAA) Wages</t>
  </si>
  <si>
    <t>P72100-3451</t>
  </si>
  <si>
    <t>SAA Casual Pay</t>
  </si>
  <si>
    <t>P72100-3466</t>
  </si>
  <si>
    <t>SAA Replacement Costs</t>
  </si>
  <si>
    <t>P72100-5739</t>
  </si>
  <si>
    <t>School Office &amp; Telephones</t>
  </si>
  <si>
    <t>P72201-3431</t>
  </si>
  <si>
    <t>SSE / Talk with Me (TWM) Salaries</t>
  </si>
  <si>
    <t>P72201-4904</t>
  </si>
  <si>
    <t>SSE / TWM Operating Expenses</t>
  </si>
  <si>
    <t>P72202-3431</t>
  </si>
  <si>
    <t>Library Assistant (LA) Wages</t>
  </si>
  <si>
    <t>P72202-3451</t>
  </si>
  <si>
    <t>LA Casual Pay</t>
  </si>
  <si>
    <t>P72202-3466</t>
  </si>
  <si>
    <t>LA Replacement Costs</t>
  </si>
  <si>
    <t>P72202-5189</t>
  </si>
  <si>
    <t>LA resources (Public libraries)</t>
  </si>
  <si>
    <t>P72205-3467</t>
  </si>
  <si>
    <t>EECD Organized P.D. &amp; Meetings</t>
  </si>
  <si>
    <t>P72200-P72300</t>
  </si>
  <si>
    <t>Other Support Services</t>
  </si>
  <si>
    <t>TOTAL SCHOOL MANAGEMENT &amp; SUPPORT</t>
  </si>
  <si>
    <t>PROGRAMS</t>
  </si>
  <si>
    <t>P72211-3431</t>
  </si>
  <si>
    <t>Community Schools Coordinator Salaries</t>
  </si>
  <si>
    <t>P72211-4904</t>
  </si>
  <si>
    <t>Community Schools Operating Expenses</t>
  </si>
  <si>
    <t>P73114-5189</t>
  </si>
  <si>
    <t>Nutritional Literacy Funding</t>
  </si>
  <si>
    <t>P73114-5241</t>
  </si>
  <si>
    <t>Healthy Minds</t>
  </si>
  <si>
    <t>P73302-3451</t>
  </si>
  <si>
    <t>EAL Tutoring</t>
  </si>
  <si>
    <t>P73500-3431</t>
  </si>
  <si>
    <t>First Nations Education</t>
  </si>
  <si>
    <t>P72405-P73913</t>
  </si>
  <si>
    <t>Other Programs (includes Adm mtgs)</t>
  </si>
  <si>
    <t>P73914-3431</t>
  </si>
  <si>
    <t>Youth Futures</t>
  </si>
  <si>
    <t>TOTAL PROGRAMS</t>
  </si>
  <si>
    <t>INFORMATION TECHNOLOGY</t>
  </si>
  <si>
    <t>P72402-3431</t>
  </si>
  <si>
    <t>I.T. Technician Salaries</t>
  </si>
  <si>
    <t>To be reimbursed by EECD/ITSS</t>
  </si>
  <si>
    <t>P72402-6071</t>
  </si>
  <si>
    <t>P72407-3431</t>
  </si>
  <si>
    <t>I.T. Shared Services</t>
  </si>
  <si>
    <t>TOTAL INFORMATION TECHNOLOGY</t>
  </si>
  <si>
    <t>FACILITIES</t>
  </si>
  <si>
    <t>P74100-3431</t>
  </si>
  <si>
    <t>Custodial &amp; Maintenance Wages</t>
  </si>
  <si>
    <t>P74100-3432</t>
  </si>
  <si>
    <t>Overtime Pay</t>
  </si>
  <si>
    <t>P74100-3435</t>
  </si>
  <si>
    <t>Night &amp; split shift premiums</t>
  </si>
  <si>
    <t>P74100-3451</t>
  </si>
  <si>
    <t>Casual Pay</t>
  </si>
  <si>
    <t>P74100-3466</t>
  </si>
  <si>
    <t>Custodian Replacement Costs</t>
  </si>
  <si>
    <t>P74100-4252</t>
  </si>
  <si>
    <t>Electricity</t>
  </si>
  <si>
    <t>P74100-4255</t>
  </si>
  <si>
    <t>Water &amp; Sewer</t>
  </si>
  <si>
    <t>P74100-4509</t>
  </si>
  <si>
    <t>Other  Operating Expenses</t>
  </si>
  <si>
    <t>P74100-4511</t>
  </si>
  <si>
    <t>Contracted Cleaning</t>
  </si>
  <si>
    <t>P74100-4513</t>
  </si>
  <si>
    <t>Garbage Removal</t>
  </si>
  <si>
    <t>P74100-4514</t>
  </si>
  <si>
    <t>Minor Repairs</t>
  </si>
  <si>
    <t>P74100-4519</t>
  </si>
  <si>
    <t>Other Building Services</t>
  </si>
  <si>
    <t>P74100-4711</t>
  </si>
  <si>
    <t>Snow Removal</t>
  </si>
  <si>
    <t>P74100-4721</t>
  </si>
  <si>
    <t>Facility Rentals</t>
  </si>
  <si>
    <t>P74100-4731</t>
  </si>
  <si>
    <t>Maintenance Vehicle Expenses</t>
  </si>
  <si>
    <t>P74100-4904</t>
  </si>
  <si>
    <t>P74100-5331</t>
  </si>
  <si>
    <t>Heating Fuel</t>
  </si>
  <si>
    <t>P74100-5332</t>
  </si>
  <si>
    <t>Natural Gas</t>
  </si>
  <si>
    <t>P74100-5339</t>
  </si>
  <si>
    <t>Wood Pellets</t>
  </si>
  <si>
    <t>P74100-5413</t>
  </si>
  <si>
    <t>Cleaning Supplies</t>
  </si>
  <si>
    <t>P74100-6479</t>
  </si>
  <si>
    <t xml:space="preserve">Operating Expenses </t>
  </si>
  <si>
    <t>P74102-4769</t>
  </si>
  <si>
    <t>P74104-5413</t>
  </si>
  <si>
    <t>P74103-P74120</t>
  </si>
  <si>
    <t>Maintenance Projects</t>
  </si>
  <si>
    <t>TOTAL FACILITIES</t>
  </si>
  <si>
    <t>TRANSPORTATION</t>
  </si>
  <si>
    <t>P75100-3431</t>
  </si>
  <si>
    <t>Bus Driver Wages</t>
  </si>
  <si>
    <t>P75100-3432</t>
  </si>
  <si>
    <t>P75100-3451</t>
  </si>
  <si>
    <t>P75100-3466</t>
  </si>
  <si>
    <t>Bus Driver Replacement Costs</t>
  </si>
  <si>
    <t>P75100-4554</t>
  </si>
  <si>
    <t>Contracted Conveyances</t>
  </si>
  <si>
    <t>P75100-4731</t>
  </si>
  <si>
    <t>Bus Operations</t>
  </si>
  <si>
    <t>P75100-4904</t>
  </si>
  <si>
    <t>TOTAL TRANSPORTATION</t>
  </si>
  <si>
    <t>DISTRICT OPERATIONS</t>
  </si>
  <si>
    <t>DECs &amp; PSSCs</t>
  </si>
  <si>
    <t>P76100-3449</t>
  </si>
  <si>
    <t>DEC Compensation</t>
  </si>
  <si>
    <t>P76100-4505</t>
  </si>
  <si>
    <t>DEC / PSSC Operating Expenses</t>
  </si>
  <si>
    <t>TOTAL DECs &amp; PSSCs</t>
  </si>
  <si>
    <t>DISTRICT MANAGEMENT</t>
  </si>
  <si>
    <t>P76200-3431</t>
  </si>
  <si>
    <t>District Management Salaries</t>
  </si>
  <si>
    <t>P76200-3451</t>
  </si>
  <si>
    <t>P76200-4904</t>
  </si>
  <si>
    <t>P76600-4801</t>
  </si>
  <si>
    <t>Occupational Health &amp; Safety</t>
  </si>
  <si>
    <t>TOTAL DISTRICT MANAGEMENT</t>
  </si>
  <si>
    <t>TOTAL DISTRICT OPERATIONS</t>
  </si>
  <si>
    <t>BENEFITS</t>
  </si>
  <si>
    <t>P77100-3429</t>
  </si>
  <si>
    <t>Other Pension</t>
  </si>
  <si>
    <t>P77100-3434</t>
  </si>
  <si>
    <t>Standby Pay</t>
  </si>
  <si>
    <t>P77100-3438</t>
  </si>
  <si>
    <t>Retirement Allowances</t>
  </si>
  <si>
    <t>P77100-3441</t>
  </si>
  <si>
    <t>Vacation Pay</t>
  </si>
  <si>
    <t>P77100-3451</t>
  </si>
  <si>
    <t>P77100-3463</t>
  </si>
  <si>
    <t>Vacation Pay - Casual</t>
  </si>
  <si>
    <t>P77100-3466</t>
  </si>
  <si>
    <t>Worksafe N.B.</t>
  </si>
  <si>
    <t>P77100-3467</t>
  </si>
  <si>
    <t>Supply Days</t>
  </si>
  <si>
    <t>P77100-3601</t>
  </si>
  <si>
    <t>Group Insurance</t>
  </si>
  <si>
    <t>P77100-3602</t>
  </si>
  <si>
    <t>Canada Pension Plan</t>
  </si>
  <si>
    <t>P77100-3603</t>
  </si>
  <si>
    <t>Health &amp; Dental Insurance</t>
  </si>
  <si>
    <t>P77100-3604</t>
  </si>
  <si>
    <t>Employment Insurance</t>
  </si>
  <si>
    <t>P77100-3704</t>
  </si>
  <si>
    <t>Dry Cleaning Allowance</t>
  </si>
  <si>
    <t>P77100-3705</t>
  </si>
  <si>
    <t>Block Heater Allowance</t>
  </si>
  <si>
    <t>P77100-3706</t>
  </si>
  <si>
    <t>Bus Driver Medical</t>
  </si>
  <si>
    <t>P77100-3709</t>
  </si>
  <si>
    <t>Other Benefits</t>
  </si>
  <si>
    <t>P77100-3711</t>
  </si>
  <si>
    <t>Workers Compensation</t>
  </si>
  <si>
    <t>TOTAL BENEFITS</t>
  </si>
  <si>
    <t>PROJECTS</t>
  </si>
  <si>
    <t>P78105-3431</t>
  </si>
  <si>
    <t>Secondments</t>
  </si>
  <si>
    <t>P78100-P78199</t>
  </si>
  <si>
    <t>Other Projects</t>
  </si>
  <si>
    <t>TOTAL PROJECTS</t>
  </si>
  <si>
    <t>TOTAL</t>
  </si>
  <si>
    <t>BUDGET REDUCTION</t>
  </si>
  <si>
    <t>Total 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</si>
</sst>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0;"/>
    <numFmt numFmtId="165" formatCode="[$-1009]d\-mmm\-yy;@"/>
    <numFmt numFmtId="166" formatCode="##,##0.00_);[Red]\(##,##0.00\);0.00_)"/>
    <numFmt numFmtId="167" formatCode="&quot;$&quot;#,##0"/>
    <numFmt numFmtId="168" formatCode="0.00%_);[Red]\(0.00%\);0.00%_)"/>
    <numFmt numFmtId="169" formatCode="&quot;$&quot;##,##0_);[Red]\(&quot;$&quot;##,##0\);&quot;$&quot;0_)"/>
    <numFmt numFmtId="170" formatCode="##,##0_);[Red]\(##,##0\);0_)"/>
    <numFmt numFmtId="171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Bookman Old Style"/>
      <family val="1"/>
    </font>
    <font>
      <sz val="8"/>
      <name val="Bookman Old Style"/>
      <family val="1"/>
    </font>
    <font>
      <b/>
      <sz val="12"/>
      <color rgb="FFFF0000"/>
      <name val="Bookman Old Style"/>
      <family val="1"/>
    </font>
    <font>
      <sz val="10"/>
      <color rgb="FFFF0000"/>
      <name val="Bookman Old Style"/>
      <family val="1"/>
    </font>
    <font>
      <b/>
      <i/>
      <sz val="10"/>
      <name val="Bookman Old Style"/>
      <family val="1"/>
    </font>
    <font>
      <sz val="10"/>
      <name val="Arial"/>
      <family val="2"/>
    </font>
    <font>
      <b/>
      <u/>
      <sz val="10"/>
      <name val="Bookman Old Style"/>
      <family val="1"/>
    </font>
    <font>
      <b/>
      <i/>
      <sz val="10"/>
      <color rgb="FFFF0000"/>
      <name val="Bookman Old Style"/>
      <family val="1"/>
    </font>
    <font>
      <b/>
      <i/>
      <u/>
      <sz val="10"/>
      <name val="Bookman Old Style"/>
      <family val="1"/>
    </font>
    <font>
      <b/>
      <sz val="10"/>
      <name val="Arial Black"/>
      <family val="2"/>
    </font>
    <font>
      <i/>
      <sz val="9"/>
      <name val="Bookman Old Style"/>
      <family val="1"/>
    </font>
    <font>
      <sz val="9"/>
      <name val="Bookman Old Style"/>
      <family val="1"/>
    </font>
    <font>
      <b/>
      <sz val="10"/>
      <color rgb="FFFF0000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/>
    <xf numFmtId="49" fontId="3" fillId="5" borderId="6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0" borderId="0" xfId="0" applyFont="1"/>
    <xf numFmtId="0" fontId="3" fillId="7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8" borderId="1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9" borderId="0" xfId="0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165" fontId="3" fillId="7" borderId="10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3" fillId="9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165" fontId="3" fillId="11" borderId="10" xfId="4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13" xfId="0" applyFont="1" applyBorder="1"/>
    <xf numFmtId="165" fontId="3" fillId="7" borderId="14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8" borderId="14" xfId="0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5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10" xfId="0" applyFont="1" applyBorder="1"/>
    <xf numFmtId="0" fontId="2" fillId="0" borderId="10" xfId="0" applyFont="1" applyBorder="1"/>
    <xf numFmtId="0" fontId="9" fillId="0" borderId="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3" fillId="0" borderId="12" xfId="0" applyFont="1" applyBorder="1"/>
    <xf numFmtId="0" fontId="3" fillId="0" borderId="11" xfId="0" applyFont="1" applyBorder="1"/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4" fontId="3" fillId="7" borderId="10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10" xfId="1" applyNumberFormat="1" applyFont="1" applyFill="1" applyBorder="1" applyAlignment="1" applyProtection="1">
      <alignment horizontal="right"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/>
    <xf numFmtId="167" fontId="3" fillId="7" borderId="0" xfId="1" applyNumberFormat="1" applyFont="1" applyFill="1" applyBorder="1" applyAlignment="1" applyProtection="1">
      <alignment horizontal="right" vertical="center"/>
    </xf>
    <xf numFmtId="168" fontId="9" fillId="0" borderId="0" xfId="3" applyNumberFormat="1" applyFont="1" applyFill="1" applyBorder="1" applyAlignment="1">
      <alignment horizontal="right" vertical="center"/>
    </xf>
    <xf numFmtId="6" fontId="3" fillId="0" borderId="10" xfId="0" applyNumberFormat="1" applyFont="1" applyBorder="1" applyAlignment="1">
      <alignment horizontal="right" vertical="center"/>
    </xf>
    <xf numFmtId="168" fontId="3" fillId="0" borderId="12" xfId="3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right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169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4" fontId="3" fillId="0" borderId="12" xfId="0" applyNumberFormat="1" applyFont="1" applyBorder="1" applyAlignment="1">
      <alignment horizontal="center" vertical="top"/>
    </xf>
    <xf numFmtId="3" fontId="3" fillId="0" borderId="10" xfId="0" applyNumberFormat="1" applyFont="1" applyBorder="1" applyAlignment="1">
      <alignment vertical="center"/>
    </xf>
    <xf numFmtId="38" fontId="3" fillId="0" borderId="0" xfId="1" applyNumberFormat="1" applyFont="1" applyFill="1" applyBorder="1" applyAlignment="1" applyProtection="1">
      <alignment vertical="center"/>
    </xf>
    <xf numFmtId="170" fontId="3" fillId="0" borderId="0" xfId="0" applyNumberFormat="1" applyFont="1" applyAlignment="1">
      <alignment vertical="top"/>
    </xf>
    <xf numFmtId="37" fontId="3" fillId="0" borderId="10" xfId="1" applyNumberFormat="1" applyFont="1" applyFill="1" applyBorder="1" applyAlignment="1" applyProtection="1">
      <alignment vertical="center"/>
    </xf>
    <xf numFmtId="37" fontId="3" fillId="7" borderId="0" xfId="1" applyNumberFormat="1" applyFont="1" applyFill="1" applyBorder="1" applyAlignment="1" applyProtection="1">
      <alignment vertical="top"/>
    </xf>
    <xf numFmtId="38" fontId="3" fillId="0" borderId="0" xfId="1" applyNumberFormat="1" applyFont="1" applyFill="1" applyBorder="1" applyAlignment="1" applyProtection="1">
      <alignment vertical="top"/>
    </xf>
    <xf numFmtId="168" fontId="9" fillId="0" borderId="0" xfId="3" applyNumberFormat="1" applyFont="1" applyFill="1" applyBorder="1" applyAlignment="1">
      <alignment horizontal="right"/>
    </xf>
    <xf numFmtId="170" fontId="3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2" xfId="0" applyNumberFormat="1" applyFont="1" applyBorder="1" applyAlignment="1">
      <alignment vertical="center"/>
    </xf>
    <xf numFmtId="37" fontId="3" fillId="0" borderId="0" xfId="1" applyNumberFormat="1" applyFont="1" applyFill="1" applyBorder="1" applyAlignment="1" applyProtection="1">
      <alignment vertical="center"/>
    </xf>
    <xf numFmtId="168" fontId="3" fillId="0" borderId="10" xfId="3" applyNumberFormat="1" applyFont="1" applyFill="1" applyBorder="1" applyAlignment="1">
      <alignment horizontal="left" vertical="center" wrapText="1"/>
    </xf>
    <xf numFmtId="37" fontId="3" fillId="7" borderId="0" xfId="1" applyNumberFormat="1" applyFont="1" applyFill="1" applyBorder="1" applyAlignment="1" applyProtection="1">
      <alignment vertical="center"/>
    </xf>
    <xf numFmtId="4" fontId="3" fillId="0" borderId="10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12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7" fontId="3" fillId="0" borderId="0" xfId="1" applyNumberFormat="1" applyFont="1" applyFill="1" applyBorder="1" applyProtection="1"/>
    <xf numFmtId="37" fontId="3" fillId="0" borderId="10" xfId="1" applyNumberFormat="1" applyFont="1" applyFill="1" applyBorder="1" applyProtection="1"/>
    <xf numFmtId="168" fontId="3" fillId="0" borderId="10" xfId="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19" xfId="1" applyNumberFormat="1" applyFont="1" applyFill="1" applyBorder="1" applyProtection="1"/>
    <xf numFmtId="4" fontId="3" fillId="0" borderId="20" xfId="1" applyNumberFormat="1" applyFont="1" applyFill="1" applyBorder="1" applyProtection="1"/>
    <xf numFmtId="166" fontId="3" fillId="0" borderId="21" xfId="0" applyNumberFormat="1" applyFont="1" applyBorder="1" applyAlignment="1">
      <alignment vertical="top"/>
    </xf>
    <xf numFmtId="167" fontId="3" fillId="0" borderId="20" xfId="1" applyNumberFormat="1" applyFont="1" applyFill="1" applyBorder="1" applyAlignment="1" applyProtection="1">
      <alignment vertical="top"/>
    </xf>
    <xf numFmtId="6" fontId="3" fillId="0" borderId="20" xfId="0" applyNumberFormat="1" applyFont="1" applyBorder="1" applyAlignment="1">
      <alignment vertical="top"/>
    </xf>
    <xf numFmtId="167" fontId="3" fillId="0" borderId="20" xfId="1" applyNumberFormat="1" applyFont="1" applyFill="1" applyBorder="1" applyProtection="1"/>
    <xf numFmtId="38" fontId="3" fillId="0" borderId="20" xfId="1" applyNumberFormat="1" applyFont="1" applyFill="1" applyBorder="1" applyAlignment="1" applyProtection="1">
      <alignment horizontal="right" vertical="center"/>
    </xf>
    <xf numFmtId="167" fontId="3" fillId="0" borderId="19" xfId="1" applyNumberFormat="1" applyFont="1" applyFill="1" applyBorder="1" applyProtection="1"/>
    <xf numFmtId="168" fontId="9" fillId="0" borderId="20" xfId="3" applyNumberFormat="1" applyFont="1" applyFill="1" applyBorder="1" applyAlignment="1">
      <alignment horizontal="right"/>
    </xf>
    <xf numFmtId="169" fontId="3" fillId="0" borderId="19" xfId="0" applyNumberFormat="1" applyFont="1" applyBorder="1"/>
    <xf numFmtId="168" fontId="3" fillId="0" borderId="21" xfId="3" applyNumberFormat="1" applyFont="1" applyFill="1" applyBorder="1" applyAlignment="1">
      <alignment horizontal="right"/>
    </xf>
    <xf numFmtId="168" fontId="3" fillId="0" borderId="19" xfId="3" applyNumberFormat="1" applyFont="1" applyFill="1" applyBorder="1" applyAlignment="1">
      <alignment horizontal="right"/>
    </xf>
    <xf numFmtId="4" fontId="3" fillId="0" borderId="10" xfId="0" applyNumberFormat="1" applyFont="1" applyBorder="1"/>
    <xf numFmtId="4" fontId="3" fillId="0" borderId="0" xfId="0" applyNumberFormat="1" applyFont="1"/>
    <xf numFmtId="4" fontId="3" fillId="0" borderId="12" xfId="0" applyNumberFormat="1" applyFont="1" applyBorder="1"/>
    <xf numFmtId="167" fontId="3" fillId="0" borderId="0" xfId="1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22" xfId="1" applyNumberFormat="1" applyFont="1" applyFill="1" applyBorder="1" applyProtection="1"/>
    <xf numFmtId="169" fontId="3" fillId="0" borderId="10" xfId="0" applyNumberFormat="1" applyFont="1" applyBorder="1"/>
    <xf numFmtId="168" fontId="3" fillId="0" borderId="12" xfId="3" applyNumberFormat="1" applyFont="1" applyBorder="1" applyAlignment="1" applyProtection="1">
      <alignment horizontal="right"/>
    </xf>
    <xf numFmtId="168" fontId="3" fillId="0" borderId="10" xfId="3" applyNumberFormat="1" applyFont="1" applyFill="1" applyBorder="1" applyAlignment="1" applyProtection="1">
      <alignment horizontal="right"/>
    </xf>
    <xf numFmtId="37" fontId="11" fillId="0" borderId="0" xfId="1" applyNumberFormat="1" applyFont="1" applyFill="1" applyBorder="1" applyProtection="1"/>
    <xf numFmtId="37" fontId="11" fillId="0" borderId="0" xfId="1" applyNumberFormat="1" applyFont="1" applyFill="1" applyProtection="1"/>
    <xf numFmtId="0" fontId="11" fillId="0" borderId="0" xfId="0" applyFont="1"/>
    <xf numFmtId="0" fontId="11" fillId="0" borderId="10" xfId="0" applyFont="1" applyBorder="1"/>
    <xf numFmtId="0" fontId="11" fillId="0" borderId="11" xfId="0" applyFont="1" applyBorder="1"/>
    <xf numFmtId="170" fontId="3" fillId="0" borderId="10" xfId="0" applyNumberFormat="1" applyFont="1" applyBorder="1"/>
    <xf numFmtId="168" fontId="3" fillId="0" borderId="12" xfId="3" applyNumberFormat="1" applyFont="1" applyBorder="1" applyAlignment="1">
      <alignment horizontal="right"/>
    </xf>
    <xf numFmtId="37" fontId="3" fillId="0" borderId="0" xfId="1" applyNumberFormat="1" applyFont="1" applyFill="1" applyProtection="1"/>
    <xf numFmtId="37" fontId="3" fillId="0" borderId="0" xfId="1" applyNumberFormat="1" applyFont="1" applyFill="1" applyAlignment="1" applyProtection="1">
      <alignment vertical="center"/>
    </xf>
    <xf numFmtId="170" fontId="3" fillId="0" borderId="11" xfId="0" applyNumberFormat="1" applyFont="1" applyBorder="1" applyAlignment="1">
      <alignment vertical="top"/>
    </xf>
    <xf numFmtId="170" fontId="3" fillId="0" borderId="10" xfId="0" applyNumberFormat="1" applyFont="1" applyBorder="1" applyAlignment="1">
      <alignment vertical="center"/>
    </xf>
    <xf numFmtId="43" fontId="3" fillId="0" borderId="10" xfId="1" applyFont="1" applyFill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37" fontId="3" fillId="7" borderId="0" xfId="1" applyNumberFormat="1" applyFont="1" applyFill="1" applyBorder="1" applyProtection="1"/>
    <xf numFmtId="168" fontId="3" fillId="0" borderId="10" xfId="3" applyNumberFormat="1" applyFont="1" applyFill="1" applyBorder="1" applyAlignment="1">
      <alignment horizontal="left"/>
    </xf>
    <xf numFmtId="166" fontId="3" fillId="0" borderId="12" xfId="0" applyNumberFormat="1" applyFont="1" applyBorder="1" applyAlignment="1">
      <alignment vertical="top"/>
    </xf>
    <xf numFmtId="4" fontId="3" fillId="0" borderId="19" xfId="1" applyNumberFormat="1" applyFont="1" applyBorder="1" applyProtection="1"/>
    <xf numFmtId="169" fontId="3" fillId="0" borderId="20" xfId="0" applyNumberFormat="1" applyFont="1" applyBorder="1" applyAlignment="1">
      <alignment horizontal="right" vertical="center"/>
    </xf>
    <xf numFmtId="169" fontId="3" fillId="0" borderId="23" xfId="0" applyNumberFormat="1" applyFont="1" applyBorder="1"/>
    <xf numFmtId="168" fontId="9" fillId="0" borderId="11" xfId="3" applyNumberFormat="1" applyFont="1" applyFill="1" applyBorder="1" applyAlignment="1">
      <alignment horizontal="right" vertical="center"/>
    </xf>
    <xf numFmtId="170" fontId="3" fillId="0" borderId="10" xfId="1" applyNumberFormat="1" applyFont="1" applyFill="1" applyBorder="1" applyProtection="1"/>
    <xf numFmtId="37" fontId="3" fillId="0" borderId="11" xfId="1" applyNumberFormat="1" applyFont="1" applyFill="1" applyBorder="1" applyProtection="1"/>
    <xf numFmtId="167" fontId="3" fillId="0" borderId="10" xfId="0" applyNumberFormat="1" applyFont="1" applyBorder="1" applyAlignment="1">
      <alignment vertical="top"/>
    </xf>
    <xf numFmtId="3" fontId="3" fillId="0" borderId="10" xfId="0" applyNumberFormat="1" applyFont="1" applyBorder="1" applyAlignment="1">
      <alignment vertical="top"/>
    </xf>
    <xf numFmtId="167" fontId="3" fillId="0" borderId="0" xfId="1" applyNumberFormat="1" applyFont="1" applyFill="1" applyProtection="1"/>
    <xf numFmtId="37" fontId="3" fillId="0" borderId="0" xfId="1" applyNumberFormat="1" applyFont="1" applyFill="1" applyProtection="1">
      <protection locked="0"/>
    </xf>
    <xf numFmtId="167" fontId="3" fillId="0" borderId="10" xfId="1" applyNumberFormat="1" applyFont="1" applyFill="1" applyBorder="1" applyAlignment="1" applyProtection="1">
      <alignment vertical="top"/>
    </xf>
    <xf numFmtId="167" fontId="3" fillId="7" borderId="0" xfId="1" applyNumberFormat="1" applyFont="1" applyFill="1" applyBorder="1" applyAlignment="1" applyProtection="1">
      <alignment vertical="top"/>
    </xf>
    <xf numFmtId="167" fontId="3" fillId="0" borderId="0" xfId="1" applyNumberFormat="1" applyFont="1" applyFill="1" applyBorder="1" applyAlignment="1" applyProtection="1">
      <alignment vertical="top"/>
    </xf>
    <xf numFmtId="168" fontId="3" fillId="0" borderId="12" xfId="3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37" fontId="3" fillId="0" borderId="0" xfId="1" applyNumberFormat="1" applyFont="1" applyFill="1" applyBorder="1" applyAlignment="1" applyProtection="1">
      <alignment vertical="top"/>
    </xf>
    <xf numFmtId="37" fontId="3" fillId="0" borderId="10" xfId="1" applyNumberFormat="1" applyFont="1" applyFill="1" applyBorder="1" applyAlignment="1" applyProtection="1">
      <alignment vertical="top"/>
    </xf>
    <xf numFmtId="44" fontId="3" fillId="0" borderId="10" xfId="2" applyFont="1" applyFill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top"/>
    </xf>
    <xf numFmtId="6" fontId="3" fillId="0" borderId="20" xfId="1" applyNumberFormat="1" applyFont="1" applyFill="1" applyBorder="1" applyProtection="1"/>
    <xf numFmtId="37" fontId="3" fillId="0" borderId="10" xfId="1" applyNumberFormat="1" applyFont="1" applyFill="1" applyBorder="1" applyProtection="1">
      <protection locked="0"/>
    </xf>
    <xf numFmtId="37" fontId="3" fillId="0" borderId="0" xfId="1" applyNumberFormat="1" applyFont="1" applyFill="1" applyBorder="1" applyProtection="1">
      <protection locked="0"/>
    </xf>
    <xf numFmtId="37" fontId="3" fillId="7" borderId="0" xfId="1" applyNumberFormat="1" applyFont="1" applyFill="1" applyBorder="1" applyProtection="1">
      <protection locked="0"/>
    </xf>
    <xf numFmtId="37" fontId="3" fillId="0" borderId="24" xfId="1" applyNumberFormat="1" applyFont="1" applyFill="1" applyBorder="1" applyProtection="1"/>
    <xf numFmtId="37" fontId="3" fillId="0" borderId="25" xfId="1" applyNumberFormat="1" applyFont="1" applyFill="1" applyBorder="1" applyProtection="1"/>
    <xf numFmtId="167" fontId="3" fillId="0" borderId="11" xfId="1" applyNumberFormat="1" applyFont="1" applyFill="1" applyBorder="1" applyProtection="1"/>
    <xf numFmtId="3" fontId="3" fillId="0" borderId="10" xfId="0" applyNumberFormat="1" applyFont="1" applyBorder="1"/>
    <xf numFmtId="37" fontId="3" fillId="0" borderId="20" xfId="1" applyNumberFormat="1" applyFont="1" applyFill="1" applyBorder="1" applyProtection="1">
      <protection locked="0"/>
    </xf>
    <xf numFmtId="167" fontId="3" fillId="0" borderId="0" xfId="1" applyNumberFormat="1" applyFont="1" applyFill="1" applyAlignment="1" applyProtection="1">
      <alignment vertical="center"/>
    </xf>
    <xf numFmtId="167" fontId="3" fillId="0" borderId="10" xfId="1" applyNumberFormat="1" applyFont="1" applyFill="1" applyBorder="1" applyAlignment="1" applyProtection="1">
      <alignment vertical="center"/>
    </xf>
    <xf numFmtId="167" fontId="3" fillId="7" borderId="0" xfId="1" applyNumberFormat="1" applyFont="1" applyFill="1" applyBorder="1" applyAlignment="1" applyProtection="1">
      <alignment vertical="center"/>
    </xf>
    <xf numFmtId="167" fontId="3" fillId="0" borderId="0" xfId="1" applyNumberFormat="1" applyFont="1" applyFill="1" applyBorder="1" applyAlignment="1" applyProtection="1">
      <alignment vertical="center"/>
    </xf>
    <xf numFmtId="169" fontId="3" fillId="0" borderId="10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37" fontId="3" fillId="0" borderId="0" xfId="1" applyNumberFormat="1" applyFont="1" applyFill="1" applyAlignment="1" applyProtection="1">
      <alignment vertical="center"/>
      <protection locked="0"/>
    </xf>
    <xf numFmtId="37" fontId="3" fillId="0" borderId="10" xfId="1" applyNumberFormat="1" applyFont="1" applyFill="1" applyBorder="1" applyAlignment="1" applyProtection="1">
      <alignment vertical="center"/>
      <protection locked="0"/>
    </xf>
    <xf numFmtId="37" fontId="3" fillId="7" borderId="0" xfId="1" applyNumberFormat="1" applyFont="1" applyFill="1" applyBorder="1" applyAlignment="1" applyProtection="1">
      <alignment vertical="center"/>
      <protection locked="0"/>
    </xf>
    <xf numFmtId="37" fontId="3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4" fontId="5" fillId="0" borderId="10" xfId="0" applyNumberFormat="1" applyFont="1" applyBorder="1"/>
    <xf numFmtId="170" fontId="3" fillId="0" borderId="12" xfId="0" applyNumberFormat="1" applyFont="1" applyBorder="1"/>
    <xf numFmtId="167" fontId="3" fillId="7" borderId="0" xfId="1" applyNumberFormat="1" applyFont="1" applyFill="1" applyBorder="1" applyProtection="1"/>
    <xf numFmtId="168" fontId="3" fillId="0" borderId="12" xfId="3" applyNumberFormat="1" applyFont="1" applyFill="1" applyBorder="1" applyAlignment="1">
      <alignment horizontal="right" vertical="top"/>
    </xf>
    <xf numFmtId="4" fontId="3" fillId="0" borderId="10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37" fontId="3" fillId="0" borderId="0" xfId="1" applyNumberFormat="1" applyFont="1" applyFill="1" applyAlignment="1" applyProtection="1">
      <alignment horizontal="right" vertical="center"/>
      <protection locked="0"/>
    </xf>
    <xf numFmtId="37" fontId="3" fillId="0" borderId="10" xfId="1" applyNumberFormat="1" applyFont="1" applyFill="1" applyBorder="1" applyAlignment="1" applyProtection="1">
      <alignment horizontal="right" vertical="center"/>
      <protection locked="0"/>
    </xf>
    <xf numFmtId="37" fontId="3" fillId="7" borderId="0" xfId="1" applyNumberFormat="1" applyFont="1" applyFill="1" applyBorder="1" applyAlignment="1" applyProtection="1">
      <alignment horizontal="right" vertical="center"/>
      <protection locked="0"/>
    </xf>
    <xf numFmtId="37" fontId="3" fillId="0" borderId="0" xfId="1" applyNumberFormat="1" applyFont="1" applyFill="1" applyBorder="1" applyAlignment="1" applyProtection="1">
      <alignment horizontal="right" vertical="center"/>
      <protection locked="0"/>
    </xf>
    <xf numFmtId="168" fontId="3" fillId="0" borderId="25" xfId="3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6" fontId="3" fillId="0" borderId="0" xfId="0" applyNumberFormat="1" applyFont="1"/>
    <xf numFmtId="168" fontId="13" fillId="0" borderId="10" xfId="3" applyNumberFormat="1" applyFont="1" applyFill="1" applyBorder="1" applyAlignment="1">
      <alignment horizontal="center"/>
    </xf>
    <xf numFmtId="170" fontId="3" fillId="0" borderId="0" xfId="0" applyNumberFormat="1" applyFont="1" applyAlignment="1">
      <alignment horizontal="right" vertical="center"/>
    </xf>
    <xf numFmtId="170" fontId="3" fillId="0" borderId="0" xfId="0" applyNumberFormat="1" applyFont="1"/>
    <xf numFmtId="3" fontId="3" fillId="0" borderId="0" xfId="0" applyNumberFormat="1" applyFont="1"/>
    <xf numFmtId="4" fontId="3" fillId="0" borderId="20" xfId="1" applyNumberFormat="1" applyFont="1" applyBorder="1" applyProtection="1"/>
    <xf numFmtId="170" fontId="3" fillId="0" borderId="11" xfId="0" applyNumberFormat="1" applyFont="1" applyBorder="1"/>
    <xf numFmtId="4" fontId="3" fillId="0" borderId="9" xfId="0" applyNumberFormat="1" applyFont="1" applyBorder="1"/>
    <xf numFmtId="0" fontId="7" fillId="0" borderId="0" xfId="0" applyFont="1"/>
    <xf numFmtId="0" fontId="7" fillId="0" borderId="10" xfId="0" applyFont="1" applyBorder="1"/>
    <xf numFmtId="0" fontId="7" fillId="0" borderId="11" xfId="0" applyFont="1" applyBorder="1"/>
    <xf numFmtId="6" fontId="3" fillId="0" borderId="10" xfId="0" applyNumberFormat="1" applyFont="1" applyBorder="1"/>
    <xf numFmtId="37" fontId="3" fillId="0" borderId="0" xfId="1" applyNumberFormat="1" applyFont="1" applyFill="1" applyBorder="1" applyAlignment="1" applyProtection="1">
      <alignment vertical="top"/>
      <protection locked="0"/>
    </xf>
    <xf numFmtId="4" fontId="3" fillId="0" borderId="10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2" xfId="0" applyNumberFormat="1" applyFont="1" applyBorder="1" applyAlignment="1">
      <alignment vertical="top"/>
    </xf>
    <xf numFmtId="37" fontId="3" fillId="0" borderId="10" xfId="1" applyNumberFormat="1" applyFont="1" applyFill="1" applyBorder="1" applyAlignment="1" applyProtection="1">
      <alignment vertical="top"/>
      <protection locked="0"/>
    </xf>
    <xf numFmtId="37" fontId="3" fillId="0" borderId="0" xfId="1" applyNumberFormat="1" applyFont="1" applyFill="1" applyAlignment="1" applyProtection="1">
      <alignment vertical="top"/>
      <protection locked="0"/>
    </xf>
    <xf numFmtId="37" fontId="3" fillId="7" borderId="0" xfId="1" applyNumberFormat="1" applyFont="1" applyFill="1" applyBorder="1" applyAlignment="1" applyProtection="1">
      <alignment vertical="top"/>
      <protection locked="0"/>
    </xf>
    <xf numFmtId="0" fontId="14" fillId="0" borderId="0" xfId="0" applyFont="1"/>
    <xf numFmtId="0" fontId="14" fillId="0" borderId="10" xfId="0" applyFont="1" applyBorder="1"/>
    <xf numFmtId="168" fontId="9" fillId="0" borderId="8" xfId="3" applyNumberFormat="1" applyFont="1" applyFill="1" applyBorder="1" applyAlignment="1">
      <alignment horizontal="right"/>
    </xf>
    <xf numFmtId="168" fontId="9" fillId="0" borderId="11" xfId="3" applyNumberFormat="1" applyFont="1" applyFill="1" applyBorder="1" applyAlignment="1">
      <alignment horizontal="right"/>
    </xf>
    <xf numFmtId="170" fontId="14" fillId="0" borderId="10" xfId="0" applyNumberFormat="1" applyFont="1" applyBorder="1"/>
    <xf numFmtId="168" fontId="3" fillId="0" borderId="12" xfId="3" applyNumberFormat="1" applyFont="1" applyFill="1" applyBorder="1"/>
    <xf numFmtId="168" fontId="3" fillId="0" borderId="10" xfId="3" applyNumberFormat="1" applyFont="1" applyFill="1" applyBorder="1"/>
    <xf numFmtId="170" fontId="15" fillId="0" borderId="10" xfId="0" applyNumberFormat="1" applyFont="1" applyBorder="1"/>
    <xf numFmtId="168" fontId="9" fillId="0" borderId="24" xfId="3" applyNumberFormat="1" applyFont="1" applyFill="1" applyBorder="1" applyAlignment="1">
      <alignment horizontal="right"/>
    </xf>
    <xf numFmtId="4" fontId="3" fillId="0" borderId="10" xfId="1" applyNumberFormat="1" applyFont="1" applyBorder="1" applyProtection="1"/>
    <xf numFmtId="4" fontId="3" fillId="0" borderId="0" xfId="1" applyNumberFormat="1" applyFont="1" applyBorder="1" applyProtection="1"/>
    <xf numFmtId="169" fontId="3" fillId="0" borderId="11" xfId="0" applyNumberFormat="1" applyFont="1" applyBorder="1"/>
    <xf numFmtId="40" fontId="3" fillId="0" borderId="10" xfId="0" applyNumberFormat="1" applyFont="1" applyBorder="1"/>
    <xf numFmtId="40" fontId="3" fillId="0" borderId="0" xfId="0" applyNumberFormat="1" applyFont="1"/>
    <xf numFmtId="38" fontId="3" fillId="0" borderId="12" xfId="1" applyNumberFormat="1" applyFont="1" applyFill="1" applyBorder="1" applyAlignment="1" applyProtection="1">
      <alignment horizontal="right" vertical="center"/>
    </xf>
    <xf numFmtId="0" fontId="14" fillId="0" borderId="12" xfId="0" applyFont="1" applyBorder="1"/>
    <xf numFmtId="170" fontId="14" fillId="0" borderId="12" xfId="0" applyNumberFormat="1" applyFont="1" applyBorder="1"/>
    <xf numFmtId="0" fontId="16" fillId="0" borderId="0" xfId="0" applyFont="1"/>
    <xf numFmtId="0" fontId="16" fillId="0" borderId="10" xfId="0" applyFont="1" applyBorder="1"/>
    <xf numFmtId="4" fontId="3" fillId="0" borderId="26" xfId="1" applyNumberFormat="1" applyFont="1" applyBorder="1" applyProtection="1"/>
    <xf numFmtId="4" fontId="3" fillId="0" borderId="27" xfId="1" applyNumberFormat="1" applyFont="1" applyBorder="1" applyProtection="1"/>
    <xf numFmtId="166" fontId="3" fillId="0" borderId="28" xfId="0" applyNumberFormat="1" applyFont="1" applyBorder="1"/>
    <xf numFmtId="167" fontId="3" fillId="0" borderId="27" xfId="1" applyNumberFormat="1" applyFont="1" applyFill="1" applyBorder="1" applyProtection="1"/>
    <xf numFmtId="169" fontId="3" fillId="0" borderId="27" xfId="0" applyNumberFormat="1" applyFont="1" applyBorder="1" applyAlignment="1">
      <alignment horizontal="right" vertical="center"/>
    </xf>
    <xf numFmtId="6" fontId="3" fillId="0" borderId="27" xfId="1" applyNumberFormat="1" applyFont="1" applyFill="1" applyBorder="1" applyProtection="1"/>
    <xf numFmtId="167" fontId="3" fillId="0" borderId="26" xfId="1" applyNumberFormat="1" applyFont="1" applyFill="1" applyBorder="1" applyProtection="1"/>
    <xf numFmtId="168" fontId="9" fillId="0" borderId="27" xfId="3" applyNumberFormat="1" applyFont="1" applyFill="1" applyBorder="1" applyAlignment="1">
      <alignment horizontal="right"/>
    </xf>
    <xf numFmtId="169" fontId="3" fillId="0" borderId="29" xfId="0" applyNumberFormat="1" applyFont="1" applyBorder="1"/>
    <xf numFmtId="171" fontId="0" fillId="0" borderId="0" xfId="0" applyNumberFormat="1"/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8" fillId="0" borderId="30" xfId="0" applyFont="1" applyBorder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 xr:uid="{7579BCB6-4662-47BA-B5A2-2EB8B32F723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bed-my.sharepoint.com/personal/shawn_tracey_nbed_nb_ca/Documents/_migrated_Aug_9-2023/Yr%202025-2026/Budget/Expenditure%20Plan/District%20Expenditure%20Plan%2025-26%20Preliminary.xlsx" TargetMode="External"/><Relationship Id="rId1" Type="http://schemas.openxmlformats.org/officeDocument/2006/relationships/externalLinkPath" Target="/personal/shawn_tracey_nbed_nb_ca/Documents/_migrated_Aug_9-2023/Yr%202025-2026/Budget/Expenditure%20Plan/District%20Expenditure%20Plan%2025-26%20Prelimin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Results"/>
      <sheetName val="EA SA"/>
      <sheetName val="SAA"/>
      <sheetName val="LA"/>
      <sheetName val="Maint Veh"/>
      <sheetName val="Heating Fuel"/>
      <sheetName val="Natural Gas"/>
      <sheetName val="Bus Ops"/>
      <sheetName val="2021-22"/>
      <sheetName val="Actuals 2020-21"/>
    </sheetNames>
    <sheetDataSet>
      <sheetData sheetId="0">
        <row r="27">
          <cell r="Q27">
            <v>6154685.5099999998</v>
          </cell>
        </row>
        <row r="40">
          <cell r="Q40">
            <v>936633.37</v>
          </cell>
        </row>
        <row r="48">
          <cell r="Q48">
            <v>136598.21</v>
          </cell>
        </row>
        <row r="96">
          <cell r="Q96">
            <v>99115.01</v>
          </cell>
        </row>
        <row r="97">
          <cell r="Q97">
            <v>91846.86</v>
          </cell>
        </row>
      </sheetData>
      <sheetData sheetId="1">
        <row r="25">
          <cell r="B25">
            <v>30653096.887440003</v>
          </cell>
        </row>
      </sheetData>
      <sheetData sheetId="2">
        <row r="129">
          <cell r="R129">
            <v>5230054.3539999938</v>
          </cell>
        </row>
      </sheetData>
      <sheetData sheetId="3">
        <row r="69">
          <cell r="Q69">
            <v>193665.943</v>
          </cell>
        </row>
      </sheetData>
      <sheetData sheetId="4">
        <row r="32">
          <cell r="N32">
            <v>572150.04</v>
          </cell>
        </row>
      </sheetData>
      <sheetData sheetId="5">
        <row r="35">
          <cell r="AB35">
            <v>672521.01051999989</v>
          </cell>
        </row>
      </sheetData>
      <sheetData sheetId="6">
        <row r="293">
          <cell r="N293">
            <v>579233.11251588818</v>
          </cell>
        </row>
      </sheetData>
      <sheetData sheetId="7">
        <row r="39">
          <cell r="O39">
            <v>7263957.1800000006</v>
          </cell>
        </row>
      </sheetData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2A81-E2FE-4C93-B81F-2983C389EFBC}">
  <dimension ref="A1:X169"/>
  <sheetViews>
    <sheetView tabSelected="1" zoomScaleNormal="100" workbookViewId="0">
      <selection activeCell="A166" sqref="A166"/>
    </sheetView>
  </sheetViews>
  <sheetFormatPr defaultRowHeight="15" outlineLevelRow="1" x14ac:dyDescent="0.25"/>
  <cols>
    <col min="1" max="1" width="45.28515625" customWidth="1"/>
    <col min="2" max="3" width="9.140625" hidden="1" customWidth="1"/>
    <col min="4" max="4" width="10" hidden="1" customWidth="1"/>
    <col min="5" max="5" width="10.7109375" hidden="1" customWidth="1"/>
    <col min="6" max="6" width="9" hidden="1" customWidth="1"/>
    <col min="7" max="7" width="11" hidden="1" customWidth="1"/>
    <col min="8" max="8" width="14.85546875" bestFit="1" customWidth="1"/>
    <col min="9" max="9" width="14.28515625" bestFit="1" customWidth="1"/>
    <col min="10" max="10" width="12.42578125" bestFit="1" customWidth="1"/>
    <col min="14" max="14" width="14.28515625" bestFit="1" customWidth="1"/>
    <col min="15" max="15" width="12.42578125" bestFit="1" customWidth="1"/>
    <col min="16" max="16" width="13.7109375" bestFit="1" customWidth="1"/>
    <col min="17" max="17" width="12.85546875" bestFit="1" customWidth="1"/>
    <col min="18" max="19" width="13.7109375" bestFit="1" customWidth="1"/>
    <col min="21" max="21" width="12.42578125" hidden="1" customWidth="1"/>
    <col min="22" max="22" width="12.42578125" bestFit="1" customWidth="1"/>
    <col min="23" max="23" width="11.28515625" bestFit="1" customWidth="1"/>
    <col min="24" max="24" width="67.5703125" hidden="1" customWidth="1"/>
  </cols>
  <sheetData>
    <row r="1" spans="1:24" ht="15.75" x14ac:dyDescent="0.3">
      <c r="A1" s="1"/>
      <c r="B1" s="2"/>
      <c r="C1" s="2"/>
      <c r="D1" s="2"/>
      <c r="E1" s="248" t="s">
        <v>0</v>
      </c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4" ht="16.5" x14ac:dyDescent="0.3">
      <c r="A2" s="3"/>
      <c r="B2" s="2"/>
      <c r="C2" s="2"/>
      <c r="D2" s="4"/>
      <c r="E2" s="248" t="s">
        <v>1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spans="1:24" ht="15.75" x14ac:dyDescent="0.3">
      <c r="A3" s="5"/>
      <c r="B3" s="2"/>
      <c r="C3" s="2"/>
      <c r="D3" s="2"/>
      <c r="E3" s="249" t="s">
        <v>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</row>
    <row r="4" spans="1:24" x14ac:dyDescent="0.25">
      <c r="A4" s="6"/>
      <c r="B4" s="3"/>
      <c r="C4" s="3"/>
      <c r="D4" s="3"/>
      <c r="E4" s="7"/>
      <c r="F4" s="3"/>
      <c r="G4" s="3"/>
      <c r="H4" s="3"/>
      <c r="I4" s="3"/>
      <c r="J4" s="248"/>
      <c r="K4" s="248"/>
      <c r="L4" s="248"/>
      <c r="M4" s="248"/>
      <c r="N4" s="248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6.5" thickBot="1" x14ac:dyDescent="0.3">
      <c r="A5" s="3" t="s">
        <v>3</v>
      </c>
      <c r="B5" s="8"/>
      <c r="C5" s="8"/>
      <c r="D5" s="8"/>
      <c r="E5" s="8"/>
      <c r="F5" s="8"/>
      <c r="G5" s="8"/>
      <c r="H5" s="8"/>
      <c r="I5" s="250"/>
      <c r="J5" s="250"/>
      <c r="K5" s="250"/>
      <c r="L5" s="250"/>
      <c r="M5" s="250"/>
      <c r="N5" s="250"/>
      <c r="O5" s="250"/>
      <c r="P5" s="9"/>
      <c r="Q5" s="10"/>
      <c r="R5" s="10"/>
      <c r="S5" s="10"/>
      <c r="T5" s="10"/>
      <c r="U5" s="10"/>
      <c r="V5" s="7"/>
      <c r="W5" s="7"/>
      <c r="X5" s="7"/>
    </row>
    <row r="6" spans="1:24" ht="15.75" x14ac:dyDescent="0.3">
      <c r="A6" s="11" t="s">
        <v>4</v>
      </c>
      <c r="B6" s="11" t="s">
        <v>5</v>
      </c>
      <c r="C6" s="11"/>
      <c r="D6" s="11"/>
      <c r="E6" s="251" t="s">
        <v>6</v>
      </c>
      <c r="F6" s="252"/>
      <c r="G6" s="253"/>
      <c r="H6" s="254" t="s">
        <v>7</v>
      </c>
      <c r="I6" s="255"/>
      <c r="J6" s="255"/>
      <c r="K6" s="255"/>
      <c r="L6" s="255"/>
      <c r="M6" s="255"/>
      <c r="N6" s="255"/>
      <c r="O6" s="255"/>
      <c r="P6" s="256"/>
      <c r="Q6" s="257" t="s">
        <v>8</v>
      </c>
      <c r="R6" s="258"/>
      <c r="S6" s="258"/>
      <c r="T6" s="258"/>
      <c r="U6" s="12" t="s">
        <v>9</v>
      </c>
      <c r="V6" s="246" t="s">
        <v>10</v>
      </c>
      <c r="W6" s="247"/>
      <c r="X6" s="13" t="s">
        <v>11</v>
      </c>
    </row>
    <row r="7" spans="1:24" ht="15.75" x14ac:dyDescent="0.3">
      <c r="A7" s="14"/>
      <c r="B7" s="14"/>
      <c r="C7" s="14"/>
      <c r="D7" s="14"/>
      <c r="E7" s="15" t="s">
        <v>12</v>
      </c>
      <c r="F7" s="16" t="s">
        <v>13</v>
      </c>
      <c r="G7" s="17" t="s">
        <v>14</v>
      </c>
      <c r="H7" s="18" t="s">
        <v>15</v>
      </c>
      <c r="I7" s="19" t="s">
        <v>16</v>
      </c>
      <c r="J7" s="19" t="s">
        <v>9</v>
      </c>
      <c r="K7" s="20" t="s">
        <v>17</v>
      </c>
      <c r="L7" s="20" t="s">
        <v>18</v>
      </c>
      <c r="M7" s="21" t="s">
        <v>19</v>
      </c>
      <c r="N7" s="22" t="s">
        <v>17</v>
      </c>
      <c r="O7" s="22" t="s">
        <v>18</v>
      </c>
      <c r="P7" s="21" t="s">
        <v>20</v>
      </c>
      <c r="Q7" s="23" t="s">
        <v>21</v>
      </c>
      <c r="R7" s="24" t="s">
        <v>22</v>
      </c>
      <c r="S7" s="24" t="s">
        <v>23</v>
      </c>
      <c r="T7" s="16" t="s">
        <v>24</v>
      </c>
      <c r="U7" s="25" t="s">
        <v>25</v>
      </c>
      <c r="V7" s="23" t="s">
        <v>26</v>
      </c>
      <c r="W7" s="26" t="s">
        <v>27</v>
      </c>
      <c r="X7" s="27" t="s">
        <v>28</v>
      </c>
    </row>
    <row r="8" spans="1:24" ht="15.75" x14ac:dyDescent="0.3">
      <c r="A8" s="14"/>
      <c r="B8" s="28"/>
      <c r="C8" s="28"/>
      <c r="D8" s="28"/>
      <c r="E8" s="29"/>
      <c r="F8" s="19"/>
      <c r="G8" s="30" t="s">
        <v>29</v>
      </c>
      <c r="H8" s="18" t="s">
        <v>30</v>
      </c>
      <c r="I8" s="24" t="s">
        <v>31</v>
      </c>
      <c r="J8" s="24"/>
      <c r="K8" s="31" t="s">
        <v>32</v>
      </c>
      <c r="L8" s="31" t="s">
        <v>33</v>
      </c>
      <c r="M8" s="32" t="s">
        <v>7</v>
      </c>
      <c r="N8" s="33" t="s">
        <v>32</v>
      </c>
      <c r="O8" s="33" t="s">
        <v>33</v>
      </c>
      <c r="P8" s="32" t="s">
        <v>7</v>
      </c>
      <c r="Q8" s="34">
        <v>45808</v>
      </c>
      <c r="R8" s="24"/>
      <c r="S8" s="24"/>
      <c r="T8" s="26" t="s">
        <v>34</v>
      </c>
      <c r="U8" s="25" t="s">
        <v>35</v>
      </c>
      <c r="V8" s="35"/>
      <c r="W8" s="26"/>
      <c r="X8" s="36" t="s">
        <v>36</v>
      </c>
    </row>
    <row r="9" spans="1:24" ht="16.5" thickBot="1" x14ac:dyDescent="0.35">
      <c r="A9" s="37"/>
      <c r="B9" s="37"/>
      <c r="C9" s="37"/>
      <c r="D9" s="38"/>
      <c r="E9" s="39"/>
      <c r="F9" s="40"/>
      <c r="G9" s="41"/>
      <c r="H9" s="42"/>
      <c r="I9" s="40" t="s">
        <v>37</v>
      </c>
      <c r="J9" s="40"/>
      <c r="K9" s="43" t="s">
        <v>38</v>
      </c>
      <c r="L9" s="43" t="s">
        <v>38</v>
      </c>
      <c r="M9" s="44"/>
      <c r="N9" s="45" t="s">
        <v>39</v>
      </c>
      <c r="O9" s="45" t="s">
        <v>39</v>
      </c>
      <c r="P9" s="46">
        <v>46112</v>
      </c>
      <c r="Q9" s="47"/>
      <c r="R9" s="48"/>
      <c r="S9" s="48"/>
      <c r="T9" s="48"/>
      <c r="U9" s="49" t="s">
        <v>40</v>
      </c>
      <c r="V9" s="50"/>
      <c r="W9" s="51"/>
      <c r="X9" s="52"/>
    </row>
    <row r="10" spans="1:24" ht="15.75" x14ac:dyDescent="0.3">
      <c r="A10" s="6"/>
      <c r="B10" s="14"/>
      <c r="C10" s="14"/>
      <c r="D10" s="14"/>
      <c r="E10" s="53"/>
      <c r="F10" s="14"/>
      <c r="G10" s="54"/>
      <c r="H10" s="55"/>
      <c r="I10" s="6"/>
      <c r="J10" s="6"/>
      <c r="K10" s="6"/>
      <c r="L10" s="6"/>
      <c r="M10" s="6"/>
      <c r="N10" s="6"/>
      <c r="O10" s="6"/>
      <c r="P10" s="6"/>
      <c r="Q10" s="56"/>
      <c r="R10" s="6"/>
      <c r="S10" s="6"/>
      <c r="T10" s="57"/>
      <c r="U10" s="58"/>
      <c r="V10" s="55"/>
      <c r="W10" s="54"/>
      <c r="X10" s="55"/>
    </row>
    <row r="11" spans="1:24" ht="15.75" hidden="1" outlineLevel="1" x14ac:dyDescent="0.3">
      <c r="A11" s="59" t="s">
        <v>41</v>
      </c>
      <c r="B11" s="14"/>
      <c r="C11" s="14"/>
      <c r="D11" s="14"/>
      <c r="E11" s="55"/>
      <c r="F11" s="14"/>
      <c r="G11" s="60"/>
      <c r="H11" s="55"/>
      <c r="I11" s="6"/>
      <c r="J11" s="6"/>
      <c r="K11" s="6"/>
      <c r="L11" s="6"/>
      <c r="M11" s="6"/>
      <c r="N11" s="6"/>
      <c r="O11" s="6"/>
      <c r="P11" s="6"/>
      <c r="Q11" s="56"/>
      <c r="R11" s="6"/>
      <c r="S11" s="6"/>
      <c r="T11" s="14"/>
      <c r="U11" s="61"/>
      <c r="V11" s="55"/>
      <c r="W11" s="60"/>
      <c r="X11" s="55"/>
    </row>
    <row r="12" spans="1:24" ht="15.75" hidden="1" outlineLevel="1" x14ac:dyDescent="0.3">
      <c r="A12" s="62" t="s">
        <v>42</v>
      </c>
      <c r="B12" s="62" t="s">
        <v>43</v>
      </c>
      <c r="C12" s="62"/>
      <c r="D12" s="63" t="s">
        <v>44</v>
      </c>
      <c r="E12" s="64"/>
      <c r="F12" s="65">
        <v>1729.93</v>
      </c>
      <c r="G12" s="66">
        <f>E12-F12</f>
        <v>-1729.93</v>
      </c>
      <c r="H12" s="67">
        <v>189322000</v>
      </c>
      <c r="I12" s="68">
        <v>189322000</v>
      </c>
      <c r="J12" s="69">
        <f>I12-H12</f>
        <v>0</v>
      </c>
      <c r="K12" s="70"/>
      <c r="L12" s="70"/>
      <c r="M12" s="68">
        <f>K12+L12</f>
        <v>0</v>
      </c>
      <c r="N12" s="68">
        <v>189322000</v>
      </c>
      <c r="O12" s="68"/>
      <c r="P12" s="68">
        <f t="shared" ref="P12:P20" si="0">M12+N12+O12</f>
        <v>189322000</v>
      </c>
      <c r="Q12" s="67">
        <v>31190736.079999998</v>
      </c>
      <c r="R12" s="71">
        <f>183122000-Q12</f>
        <v>151931263.92000002</v>
      </c>
      <c r="S12" s="68">
        <f>SUM(Q12:R12)</f>
        <v>183122000</v>
      </c>
      <c r="T12" s="72">
        <f>IF(ISERR(Q12/S12),"-",Q12/S12)</f>
        <v>0.17032762901235241</v>
      </c>
      <c r="U12" s="73">
        <f t="shared" ref="U12:U21" si="1">S12-I12</f>
        <v>-6200000</v>
      </c>
      <c r="V12" s="73">
        <f>P12-S12</f>
        <v>6200000</v>
      </c>
      <c r="W12" s="74">
        <f>IF(ISERR(V12/P12),"-",V12/P12)</f>
        <v>3.2748439167133242E-2</v>
      </c>
      <c r="X12" s="75"/>
    </row>
    <row r="13" spans="1:24" ht="15.75" hidden="1" outlineLevel="1" x14ac:dyDescent="0.3">
      <c r="A13" s="62"/>
      <c r="B13" s="62"/>
      <c r="C13" s="62"/>
      <c r="D13" s="63" t="s">
        <v>45</v>
      </c>
      <c r="E13" s="64"/>
      <c r="F13" s="65">
        <v>1710.82</v>
      </c>
      <c r="G13" s="66">
        <f>E13-F13</f>
        <v>-1710.82</v>
      </c>
      <c r="H13" s="67"/>
      <c r="I13" s="68"/>
      <c r="J13" s="76"/>
      <c r="K13" s="14"/>
      <c r="L13" s="14"/>
      <c r="M13" s="68"/>
      <c r="N13" s="68"/>
      <c r="O13" s="68"/>
      <c r="P13" s="77"/>
      <c r="Q13" s="67"/>
      <c r="R13" s="68"/>
      <c r="S13" s="68"/>
      <c r="T13" s="72"/>
      <c r="U13" s="78"/>
      <c r="V13" s="78"/>
      <c r="W13" s="74"/>
      <c r="X13" s="75"/>
    </row>
    <row r="14" spans="1:24" ht="15.75" hidden="1" outlineLevel="1" x14ac:dyDescent="0.3">
      <c r="A14" s="79" t="s">
        <v>46</v>
      </c>
      <c r="B14" s="79" t="s">
        <v>47</v>
      </c>
      <c r="C14" s="80"/>
      <c r="D14" s="80"/>
      <c r="E14" s="81"/>
      <c r="F14" s="82"/>
      <c r="G14" s="83"/>
      <c r="H14" s="84">
        <v>5758900</v>
      </c>
      <c r="I14" s="85">
        <v>5758900</v>
      </c>
      <c r="J14" s="86">
        <f>I14-H14</f>
        <v>0</v>
      </c>
      <c r="K14" s="14"/>
      <c r="L14" s="14"/>
      <c r="M14" s="77">
        <f>K14+L14</f>
        <v>0</v>
      </c>
      <c r="N14" s="77">
        <v>5758900</v>
      </c>
      <c r="O14" s="77"/>
      <c r="P14" s="77">
        <f t="shared" si="0"/>
        <v>5758900</v>
      </c>
      <c r="Q14" s="87">
        <v>1806533.74</v>
      </c>
      <c r="R14" s="88">
        <f>7176000-Q14</f>
        <v>5369466.2599999998</v>
      </c>
      <c r="S14" s="89">
        <f>SUM(Q14:R14)</f>
        <v>7176000</v>
      </c>
      <c r="T14" s="90">
        <f t="shared" ref="T14:T22" si="2">IF(ISERR(Q14/S14),"-",Q14/S14)</f>
        <v>0.2517466192865106</v>
      </c>
      <c r="U14" s="91">
        <f t="shared" si="1"/>
        <v>1417100</v>
      </c>
      <c r="V14" s="91">
        <f t="shared" ref="V14:V21" si="3">P14-S14</f>
        <v>-1417100</v>
      </c>
      <c r="W14" s="74">
        <f>IF(ISERR(V14/P14),"-",V14/P14)</f>
        <v>-0.2460712983382243</v>
      </c>
      <c r="X14" s="92"/>
    </row>
    <row r="15" spans="1:24" ht="15.75" hidden="1" outlineLevel="1" x14ac:dyDescent="0.3">
      <c r="A15" s="62" t="s">
        <v>48</v>
      </c>
      <c r="B15" s="62" t="s">
        <v>49</v>
      </c>
      <c r="C15" s="93"/>
      <c r="D15" s="93"/>
      <c r="E15" s="94"/>
      <c r="F15" s="95"/>
      <c r="G15" s="96"/>
      <c r="H15" s="84"/>
      <c r="I15" s="85"/>
      <c r="J15" s="86">
        <f t="shared" ref="J15:J21" si="4">I15-H15</f>
        <v>0</v>
      </c>
      <c r="K15" s="14"/>
      <c r="L15" s="14"/>
      <c r="M15" s="77">
        <f t="shared" ref="M15:M21" si="5">K15+L15</f>
        <v>0</v>
      </c>
      <c r="N15" s="77"/>
      <c r="O15" s="77"/>
      <c r="P15" s="77">
        <f t="shared" si="0"/>
        <v>0</v>
      </c>
      <c r="Q15" s="87"/>
      <c r="R15" s="97"/>
      <c r="S15" s="89">
        <f t="shared" ref="S15:S21" si="6">SUM(Q15:R15)</f>
        <v>0</v>
      </c>
      <c r="T15" s="90" t="str">
        <f t="shared" si="2"/>
        <v>-</v>
      </c>
      <c r="U15" s="91">
        <f t="shared" si="1"/>
        <v>0</v>
      </c>
      <c r="V15" s="91">
        <f t="shared" si="3"/>
        <v>0</v>
      </c>
      <c r="W15" s="74" t="str">
        <f t="shared" ref="W15:W22" si="7">IF(ISERR(V15/P15),"-",V15/P15)</f>
        <v>-</v>
      </c>
      <c r="X15" s="98"/>
    </row>
    <row r="16" spans="1:24" ht="15.75" hidden="1" outlineLevel="1" x14ac:dyDescent="0.3">
      <c r="A16" s="62" t="s">
        <v>50</v>
      </c>
      <c r="B16" s="62" t="s">
        <v>51</v>
      </c>
      <c r="C16" s="93"/>
      <c r="D16" s="93"/>
      <c r="E16" s="94"/>
      <c r="F16" s="95"/>
      <c r="G16" s="96"/>
      <c r="H16" s="84">
        <v>3313000</v>
      </c>
      <c r="I16" s="85">
        <f>3313000+375000</f>
        <v>3688000</v>
      </c>
      <c r="J16" s="86">
        <f t="shared" si="4"/>
        <v>375000</v>
      </c>
      <c r="K16" s="14"/>
      <c r="L16" s="14"/>
      <c r="M16" s="77">
        <f t="shared" si="5"/>
        <v>0</v>
      </c>
      <c r="N16" s="77">
        <v>3313000</v>
      </c>
      <c r="O16" s="77">
        <v>375000</v>
      </c>
      <c r="P16" s="77">
        <f t="shared" si="0"/>
        <v>3688000</v>
      </c>
      <c r="Q16" s="87">
        <f>1600.78+223507.86</f>
        <v>225108.63999999998</v>
      </c>
      <c r="R16" s="97">
        <f>P16-Q16</f>
        <v>3462891.36</v>
      </c>
      <c r="S16" s="89">
        <f t="shared" ref="S16:S17" si="8">SUM(Q16:R16)</f>
        <v>3688000</v>
      </c>
      <c r="T16" s="90">
        <f t="shared" si="2"/>
        <v>6.1038134490238607E-2</v>
      </c>
      <c r="U16" s="91">
        <f t="shared" si="1"/>
        <v>0</v>
      </c>
      <c r="V16" s="91">
        <f t="shared" si="3"/>
        <v>0</v>
      </c>
      <c r="W16" s="74">
        <f t="shared" si="7"/>
        <v>0</v>
      </c>
      <c r="X16" s="98"/>
    </row>
    <row r="17" spans="1:24" ht="15.75" hidden="1" outlineLevel="1" x14ac:dyDescent="0.3">
      <c r="A17" s="62" t="s">
        <v>48</v>
      </c>
      <c r="B17" s="62" t="s">
        <v>52</v>
      </c>
      <c r="C17" s="93"/>
      <c r="D17" s="93"/>
      <c r="E17" s="94"/>
      <c r="F17" s="95"/>
      <c r="G17" s="96"/>
      <c r="H17" s="84">
        <f>10500+16500+7500+1500+1500+1500+10000</f>
        <v>49000</v>
      </c>
      <c r="I17" s="85">
        <v>49000</v>
      </c>
      <c r="J17" s="86">
        <f t="shared" si="4"/>
        <v>0</v>
      </c>
      <c r="K17" s="14"/>
      <c r="L17" s="14"/>
      <c r="M17" s="77">
        <f t="shared" si="5"/>
        <v>0</v>
      </c>
      <c r="N17" s="77">
        <v>49000</v>
      </c>
      <c r="O17" s="77"/>
      <c r="P17" s="77">
        <f t="shared" si="0"/>
        <v>49000</v>
      </c>
      <c r="Q17" s="87">
        <v>171250.64</v>
      </c>
      <c r="R17" s="99">
        <f>1000000-Q17+25000</f>
        <v>853749.36</v>
      </c>
      <c r="S17" s="89">
        <f t="shared" si="8"/>
        <v>1025000</v>
      </c>
      <c r="T17" s="90">
        <f t="shared" si="2"/>
        <v>0.16707379512195122</v>
      </c>
      <c r="U17" s="91">
        <f t="shared" si="1"/>
        <v>976000</v>
      </c>
      <c r="V17" s="91">
        <f t="shared" si="3"/>
        <v>-976000</v>
      </c>
      <c r="W17" s="74">
        <f t="shared" si="7"/>
        <v>-19.918367346938776</v>
      </c>
      <c r="X17" s="98"/>
    </row>
    <row r="18" spans="1:24" ht="15.75" hidden="1" outlineLevel="1" x14ac:dyDescent="0.3">
      <c r="A18" s="28" t="s">
        <v>53</v>
      </c>
      <c r="B18" s="28" t="s">
        <v>54</v>
      </c>
      <c r="C18" s="14"/>
      <c r="D18" s="14"/>
      <c r="E18" s="100"/>
      <c r="F18" s="101"/>
      <c r="G18" s="102"/>
      <c r="H18" s="103">
        <v>933000</v>
      </c>
      <c r="I18" s="85">
        <v>933000</v>
      </c>
      <c r="J18" s="86">
        <f t="shared" si="4"/>
        <v>0</v>
      </c>
      <c r="K18" s="104"/>
      <c r="L18" s="104"/>
      <c r="M18" s="77">
        <f t="shared" si="5"/>
        <v>0</v>
      </c>
      <c r="N18" s="77">
        <v>933000</v>
      </c>
      <c r="O18" s="77"/>
      <c r="P18" s="77">
        <f t="shared" si="0"/>
        <v>933000</v>
      </c>
      <c r="Q18" s="105">
        <f>51101.23+105738.21</f>
        <v>156839.44</v>
      </c>
      <c r="R18" s="104">
        <f>P18-Q18</f>
        <v>776160.56</v>
      </c>
      <c r="S18" s="89">
        <f t="shared" si="6"/>
        <v>933000</v>
      </c>
      <c r="T18" s="90">
        <f t="shared" si="2"/>
        <v>0.16810229367631296</v>
      </c>
      <c r="U18" s="91">
        <f t="shared" si="1"/>
        <v>0</v>
      </c>
      <c r="V18" s="91">
        <f t="shared" si="3"/>
        <v>0</v>
      </c>
      <c r="W18" s="74">
        <f t="shared" si="7"/>
        <v>0</v>
      </c>
      <c r="X18" s="106"/>
    </row>
    <row r="19" spans="1:24" ht="15.75" hidden="1" outlineLevel="1" x14ac:dyDescent="0.3">
      <c r="A19" s="28" t="s">
        <v>55</v>
      </c>
      <c r="B19" s="28" t="s">
        <v>56</v>
      </c>
      <c r="C19" s="14"/>
      <c r="D19" s="14"/>
      <c r="E19" s="100"/>
      <c r="F19" s="101"/>
      <c r="G19" s="102"/>
      <c r="H19" s="103"/>
      <c r="I19" s="85">
        <v>75000</v>
      </c>
      <c r="J19" s="86">
        <f t="shared" si="4"/>
        <v>75000</v>
      </c>
      <c r="K19" s="104"/>
      <c r="L19" s="104"/>
      <c r="M19" s="77">
        <f t="shared" si="5"/>
        <v>0</v>
      </c>
      <c r="N19" s="77"/>
      <c r="O19" s="77">
        <v>75000</v>
      </c>
      <c r="P19" s="77">
        <f t="shared" si="0"/>
        <v>75000</v>
      </c>
      <c r="Q19" s="105">
        <v>8776.41</v>
      </c>
      <c r="R19" s="104">
        <f>75000-Q19</f>
        <v>66223.59</v>
      </c>
      <c r="S19" s="89">
        <f t="shared" ref="S19" si="9">SUM(Q19:R19)</f>
        <v>75000</v>
      </c>
      <c r="T19" s="90">
        <f t="shared" si="2"/>
        <v>0.11701879999999999</v>
      </c>
      <c r="U19" s="91">
        <f t="shared" si="1"/>
        <v>0</v>
      </c>
      <c r="V19" s="91">
        <f t="shared" si="3"/>
        <v>0</v>
      </c>
      <c r="W19" s="74">
        <f t="shared" si="7"/>
        <v>0</v>
      </c>
      <c r="X19" s="106"/>
    </row>
    <row r="20" spans="1:24" ht="15.75" hidden="1" outlineLevel="1" x14ac:dyDescent="0.3">
      <c r="A20" s="28" t="s">
        <v>57</v>
      </c>
      <c r="B20" s="28" t="s">
        <v>58</v>
      </c>
      <c r="C20" s="14"/>
      <c r="D20" s="14"/>
      <c r="E20" s="100"/>
      <c r="F20" s="101"/>
      <c r="G20" s="102"/>
      <c r="H20" s="103">
        <v>225400</v>
      </c>
      <c r="I20" s="85">
        <v>225400</v>
      </c>
      <c r="J20" s="86">
        <f t="shared" si="4"/>
        <v>0</v>
      </c>
      <c r="K20" s="104"/>
      <c r="L20" s="104"/>
      <c r="M20" s="77">
        <f t="shared" si="5"/>
        <v>0</v>
      </c>
      <c r="N20" s="77">
        <v>225400</v>
      </c>
      <c r="O20" s="77"/>
      <c r="P20" s="77">
        <f t="shared" si="0"/>
        <v>225400</v>
      </c>
      <c r="Q20" s="91">
        <v>13136.35</v>
      </c>
      <c r="R20" s="104">
        <f>P20-Q20</f>
        <v>212263.65</v>
      </c>
      <c r="S20" s="89">
        <f t="shared" si="6"/>
        <v>225400</v>
      </c>
      <c r="T20" s="90">
        <f t="shared" si="2"/>
        <v>5.8280168589174799E-2</v>
      </c>
      <c r="U20" s="91">
        <f t="shared" si="1"/>
        <v>0</v>
      </c>
      <c r="V20" s="91">
        <f t="shared" si="3"/>
        <v>0</v>
      </c>
      <c r="W20" s="74">
        <f t="shared" si="7"/>
        <v>0</v>
      </c>
      <c r="X20" s="106"/>
    </row>
    <row r="21" spans="1:24" ht="15.75" hidden="1" outlineLevel="1" x14ac:dyDescent="0.3">
      <c r="A21" s="28" t="s">
        <v>59</v>
      </c>
      <c r="B21" s="28" t="s">
        <v>60</v>
      </c>
      <c r="C21" s="14"/>
      <c r="D21" s="14"/>
      <c r="E21" s="100"/>
      <c r="F21" s="101"/>
      <c r="G21" s="102"/>
      <c r="H21" s="107"/>
      <c r="I21" s="85">
        <v>106320</v>
      </c>
      <c r="J21" s="86">
        <f t="shared" si="4"/>
        <v>106320</v>
      </c>
      <c r="K21" s="104"/>
      <c r="L21" s="104"/>
      <c r="M21" s="77">
        <f t="shared" si="5"/>
        <v>0</v>
      </c>
      <c r="N21" s="77"/>
      <c r="O21" s="77">
        <v>106320</v>
      </c>
      <c r="P21" s="77">
        <f>M21+N21+O21</f>
        <v>106320</v>
      </c>
      <c r="Q21" s="91"/>
      <c r="R21" s="104">
        <f>P21-Q21</f>
        <v>106320</v>
      </c>
      <c r="S21" s="89">
        <f t="shared" si="6"/>
        <v>106320</v>
      </c>
      <c r="T21" s="90">
        <f t="shared" si="2"/>
        <v>0</v>
      </c>
      <c r="U21" s="91">
        <f t="shared" si="1"/>
        <v>0</v>
      </c>
      <c r="V21" s="91">
        <f t="shared" si="3"/>
        <v>0</v>
      </c>
      <c r="W21" s="74">
        <f t="shared" si="7"/>
        <v>0</v>
      </c>
      <c r="X21" s="106"/>
    </row>
    <row r="22" spans="1:24" ht="15.75" collapsed="1" x14ac:dyDescent="0.3">
      <c r="A22" s="1" t="s">
        <v>61</v>
      </c>
      <c r="B22" s="6"/>
      <c r="C22" s="14"/>
      <c r="D22" s="14"/>
      <c r="E22" s="108">
        <f>E13</f>
        <v>0</v>
      </c>
      <c r="F22" s="109">
        <f>F13</f>
        <v>1710.82</v>
      </c>
      <c r="G22" s="110">
        <f>G13</f>
        <v>-1710.82</v>
      </c>
      <c r="H22" s="111">
        <f>SUM(H12:H20)</f>
        <v>199601300</v>
      </c>
      <c r="I22" s="111">
        <f t="shared" ref="I22:S22" si="10">SUM(I12:I21)</f>
        <v>200157620</v>
      </c>
      <c r="J22" s="112">
        <f t="shared" si="10"/>
        <v>556320</v>
      </c>
      <c r="K22" s="111">
        <f t="shared" si="10"/>
        <v>0</v>
      </c>
      <c r="L22" s="111">
        <f t="shared" si="10"/>
        <v>0</v>
      </c>
      <c r="M22" s="113">
        <f t="shared" si="10"/>
        <v>0</v>
      </c>
      <c r="N22" s="113">
        <f t="shared" si="10"/>
        <v>199601300</v>
      </c>
      <c r="O22" s="114">
        <f t="shared" si="10"/>
        <v>556320</v>
      </c>
      <c r="P22" s="113">
        <f t="shared" si="10"/>
        <v>200157620</v>
      </c>
      <c r="Q22" s="115">
        <f t="shared" si="10"/>
        <v>33572381.299999997</v>
      </c>
      <c r="R22" s="113">
        <f t="shared" si="10"/>
        <v>162778338.70000005</v>
      </c>
      <c r="S22" s="113">
        <f t="shared" si="10"/>
        <v>196350720</v>
      </c>
      <c r="T22" s="116">
        <f t="shared" si="2"/>
        <v>0.17098170712080912</v>
      </c>
      <c r="U22" s="117">
        <f>SUM(U12:U21)</f>
        <v>-3806900</v>
      </c>
      <c r="V22" s="117">
        <f>SUM(V12:V21)</f>
        <v>3806900</v>
      </c>
      <c r="W22" s="118">
        <f t="shared" si="7"/>
        <v>1.9019510723598733E-2</v>
      </c>
      <c r="X22" s="119"/>
    </row>
    <row r="23" spans="1:24" ht="15.75" x14ac:dyDescent="0.3">
      <c r="A23" s="1"/>
      <c r="B23" s="6"/>
      <c r="C23" s="14"/>
      <c r="D23" s="14"/>
      <c r="E23" s="120"/>
      <c r="F23" s="121"/>
      <c r="G23" s="122"/>
      <c r="H23" s="120"/>
      <c r="I23" s="123"/>
      <c r="J23" s="123"/>
      <c r="K23" s="123"/>
      <c r="L23" s="123"/>
      <c r="M23" s="123"/>
      <c r="N23" s="123"/>
      <c r="O23" s="123"/>
      <c r="P23" s="123"/>
      <c r="Q23" s="124"/>
      <c r="R23" s="123"/>
      <c r="S23" s="123"/>
      <c r="T23" s="123"/>
      <c r="U23" s="125"/>
      <c r="V23" s="126"/>
      <c r="W23" s="127"/>
      <c r="X23" s="128"/>
    </row>
    <row r="24" spans="1:24" ht="15.75" x14ac:dyDescent="0.3">
      <c r="A24" s="6"/>
      <c r="B24" s="6"/>
      <c r="C24" s="14"/>
      <c r="D24" s="14"/>
      <c r="E24" s="120"/>
      <c r="F24" s="121"/>
      <c r="G24" s="122"/>
      <c r="H24" s="120"/>
      <c r="I24" s="129"/>
      <c r="J24" s="129"/>
      <c r="K24" s="130"/>
      <c r="L24" s="130"/>
      <c r="M24" s="131"/>
      <c r="N24" s="131"/>
      <c r="O24" s="131"/>
      <c r="P24" s="131"/>
      <c r="Q24" s="132"/>
      <c r="R24" s="131"/>
      <c r="S24" s="131"/>
      <c r="T24" s="131"/>
      <c r="U24" s="133"/>
      <c r="V24" s="134"/>
      <c r="W24" s="135"/>
      <c r="X24" s="106"/>
    </row>
    <row r="25" spans="1:24" ht="15.75" hidden="1" outlineLevel="1" x14ac:dyDescent="0.3">
      <c r="A25" s="59" t="s">
        <v>62</v>
      </c>
      <c r="B25" s="6"/>
      <c r="C25" s="14"/>
      <c r="D25" s="14"/>
      <c r="E25" s="120"/>
      <c r="F25" s="121"/>
      <c r="G25" s="122"/>
      <c r="H25" s="120"/>
      <c r="I25" s="104"/>
      <c r="J25" s="104"/>
      <c r="K25" s="136"/>
      <c r="L25" s="136"/>
      <c r="M25" s="14"/>
      <c r="N25" s="14"/>
      <c r="O25" s="14"/>
      <c r="P25" s="14"/>
      <c r="Q25" s="55"/>
      <c r="R25" s="14"/>
      <c r="S25" s="14"/>
      <c r="T25" s="14"/>
      <c r="U25" s="61"/>
      <c r="V25" s="134"/>
      <c r="W25" s="135"/>
      <c r="X25" s="106"/>
    </row>
    <row r="26" spans="1:24" hidden="1" outlineLevel="1" x14ac:dyDescent="0.25">
      <c r="A26" s="62" t="s">
        <v>63</v>
      </c>
      <c r="B26" s="62" t="s">
        <v>64</v>
      </c>
      <c r="C26" s="93"/>
      <c r="D26" s="93"/>
      <c r="E26" s="94"/>
      <c r="F26" s="95"/>
      <c r="G26" s="96"/>
      <c r="H26" s="84"/>
      <c r="I26" s="85">
        <v>200000</v>
      </c>
      <c r="J26" s="86">
        <f t="shared" ref="J26:J35" si="11">I26-H26</f>
        <v>200000</v>
      </c>
      <c r="K26" s="137"/>
      <c r="L26" s="137"/>
      <c r="M26" s="77">
        <f t="shared" ref="M26:M35" si="12">K26+L26</f>
        <v>0</v>
      </c>
      <c r="N26" s="77"/>
      <c r="O26" s="77">
        <v>200000</v>
      </c>
      <c r="P26" s="77">
        <f t="shared" ref="P26:P35" si="13">M26+N26+O26</f>
        <v>200000</v>
      </c>
      <c r="Q26" s="87">
        <f>66546.68+5805.75</f>
        <v>72352.429999999993</v>
      </c>
      <c r="R26" s="97">
        <f>P26-Q26</f>
        <v>127647.57</v>
      </c>
      <c r="S26" s="85">
        <f t="shared" ref="S26:S27" si="14">SUM(Q26:R26)</f>
        <v>200000</v>
      </c>
      <c r="T26" s="72">
        <f t="shared" ref="T26:T27" si="15">IF(ISERR(Q26/S26),"-",Q26/S26)</f>
        <v>0.36176214999999995</v>
      </c>
      <c r="U26" s="138">
        <f t="shared" ref="U26:U35" si="16">S26-I26</f>
        <v>0</v>
      </c>
      <c r="V26" s="139">
        <f t="shared" ref="V26:V35" si="17">P26-S26</f>
        <v>0</v>
      </c>
      <c r="W26" s="74">
        <f t="shared" ref="W26:W27" si="18">IF(ISERR(V26/P26),"-",V26/P26)</f>
        <v>0</v>
      </c>
      <c r="X26" s="140"/>
    </row>
    <row r="27" spans="1:24" hidden="1" outlineLevel="1" x14ac:dyDescent="0.25">
      <c r="A27" s="62" t="s">
        <v>65</v>
      </c>
      <c r="B27" s="62" t="s">
        <v>66</v>
      </c>
      <c r="C27" s="93"/>
      <c r="D27" s="63" t="s">
        <v>44</v>
      </c>
      <c r="E27" s="64"/>
      <c r="F27" s="65">
        <f>612+3.28</f>
        <v>615.28</v>
      </c>
      <c r="G27" s="66">
        <f>E27-F27</f>
        <v>-615.28</v>
      </c>
      <c r="H27" s="84">
        <f>32334000+94500</f>
        <v>32428500</v>
      </c>
      <c r="I27" s="85">
        <f>32428500+1063100</f>
        <v>33491600</v>
      </c>
      <c r="J27" s="86">
        <f t="shared" si="11"/>
        <v>1063100</v>
      </c>
      <c r="K27" s="137"/>
      <c r="L27" s="137"/>
      <c r="M27" s="77">
        <f t="shared" si="12"/>
        <v>0</v>
      </c>
      <c r="N27" s="77">
        <v>32428500</v>
      </c>
      <c r="O27" s="77">
        <v>1063100</v>
      </c>
      <c r="P27" s="77">
        <f t="shared" si="13"/>
        <v>33491600</v>
      </c>
      <c r="Q27" s="87">
        <v>6154685.5099999998</v>
      </c>
      <c r="R27" s="99">
        <f>'[1]EA SA'!B25-'[1]Operating Results'!Q27</f>
        <v>24498411.377440006</v>
      </c>
      <c r="S27" s="85">
        <f t="shared" si="14"/>
        <v>30653096.887440003</v>
      </c>
      <c r="T27" s="72">
        <f t="shared" si="15"/>
        <v>0.20078511259728082</v>
      </c>
      <c r="U27" s="138">
        <f t="shared" si="16"/>
        <v>-2838503.1125599965</v>
      </c>
      <c r="V27" s="139">
        <f t="shared" si="17"/>
        <v>2838503.1125599965</v>
      </c>
      <c r="W27" s="74">
        <f t="shared" si="18"/>
        <v>8.4752687615999134E-2</v>
      </c>
      <c r="X27" s="93"/>
    </row>
    <row r="28" spans="1:24" hidden="1" outlineLevel="1" x14ac:dyDescent="0.25">
      <c r="A28" s="62"/>
      <c r="B28" s="62"/>
      <c r="C28" s="93"/>
      <c r="D28" s="63" t="s">
        <v>45</v>
      </c>
      <c r="E28" s="64"/>
      <c r="F28" s="65">
        <f>F27</f>
        <v>615.28</v>
      </c>
      <c r="G28" s="66">
        <f>E28-F28</f>
        <v>-615.28</v>
      </c>
      <c r="H28" s="84"/>
      <c r="I28" s="85"/>
      <c r="J28" s="86"/>
      <c r="K28" s="137"/>
      <c r="L28" s="137"/>
      <c r="M28" s="77">
        <f t="shared" si="12"/>
        <v>0</v>
      </c>
      <c r="N28" s="77"/>
      <c r="O28" s="77"/>
      <c r="P28" s="77"/>
      <c r="Q28" s="87"/>
      <c r="R28" s="97"/>
      <c r="S28" s="85"/>
      <c r="T28" s="72"/>
      <c r="U28" s="138"/>
      <c r="V28" s="139"/>
      <c r="W28" s="74"/>
      <c r="X28" s="93"/>
    </row>
    <row r="29" spans="1:24" hidden="1" outlineLevel="1" x14ac:dyDescent="0.25">
      <c r="A29" s="62" t="s">
        <v>67</v>
      </c>
      <c r="B29" s="62" t="s">
        <v>68</v>
      </c>
      <c r="C29" s="93"/>
      <c r="D29" s="63"/>
      <c r="E29" s="141"/>
      <c r="F29" s="65"/>
      <c r="G29" s="66"/>
      <c r="H29" s="84"/>
      <c r="I29" s="85"/>
      <c r="J29" s="86">
        <f t="shared" ref="J29" si="19">I29-H29</f>
        <v>0</v>
      </c>
      <c r="K29" s="137"/>
      <c r="L29" s="137"/>
      <c r="M29" s="77">
        <f t="shared" si="12"/>
        <v>0</v>
      </c>
      <c r="N29" s="77"/>
      <c r="O29" s="77"/>
      <c r="P29" s="77">
        <f t="shared" si="13"/>
        <v>0</v>
      </c>
      <c r="Q29" s="87">
        <v>768037.7</v>
      </c>
      <c r="R29" s="99">
        <f>1700000-Q29</f>
        <v>931962.3</v>
      </c>
      <c r="S29" s="85">
        <f t="shared" ref="S29:S35" si="20">SUM(Q29:R29)</f>
        <v>1700000</v>
      </c>
      <c r="T29" s="72">
        <f t="shared" ref="T29:T35" si="21">IF(ISERR(Q29/S29),"-",Q29/S29)</f>
        <v>0.45178688235294112</v>
      </c>
      <c r="U29" s="138">
        <f t="shared" si="16"/>
        <v>1700000</v>
      </c>
      <c r="V29" s="139">
        <f t="shared" si="17"/>
        <v>-1700000</v>
      </c>
      <c r="W29" s="74" t="str">
        <f t="shared" ref="W29:W33" si="22">IF(ISERR(V29/P29),"-",V29/P29)</f>
        <v>-</v>
      </c>
      <c r="X29" s="98"/>
    </row>
    <row r="30" spans="1:24" hidden="1" outlineLevel="1" x14ac:dyDescent="0.25">
      <c r="A30" s="62" t="s">
        <v>69</v>
      </c>
      <c r="B30" s="62" t="s">
        <v>70</v>
      </c>
      <c r="C30" s="93"/>
      <c r="D30" s="93"/>
      <c r="E30" s="94"/>
      <c r="F30" s="95"/>
      <c r="G30" s="96"/>
      <c r="H30" s="84">
        <v>1772600</v>
      </c>
      <c r="I30" s="85">
        <v>1772600</v>
      </c>
      <c r="J30" s="86">
        <f t="shared" si="11"/>
        <v>0</v>
      </c>
      <c r="K30" s="137"/>
      <c r="L30" s="137"/>
      <c r="M30" s="77">
        <f t="shared" si="12"/>
        <v>0</v>
      </c>
      <c r="N30" s="77">
        <v>1772600</v>
      </c>
      <c r="O30" s="77"/>
      <c r="P30" s="77">
        <f t="shared" si="13"/>
        <v>1772600</v>
      </c>
      <c r="Q30" s="87">
        <v>893492.65</v>
      </c>
      <c r="R30" s="99">
        <f>5162500-Q30</f>
        <v>4269007.3499999996</v>
      </c>
      <c r="S30" s="85">
        <f t="shared" si="20"/>
        <v>5162500</v>
      </c>
      <c r="T30" s="72">
        <f t="shared" si="21"/>
        <v>0.17307363680387411</v>
      </c>
      <c r="U30" s="138">
        <f t="shared" si="16"/>
        <v>3389900</v>
      </c>
      <c r="V30" s="139">
        <f t="shared" si="17"/>
        <v>-3389900</v>
      </c>
      <c r="W30" s="74">
        <f t="shared" si="22"/>
        <v>-1.9123885817443305</v>
      </c>
      <c r="X30" s="98"/>
    </row>
    <row r="31" spans="1:24" hidden="1" outlineLevel="1" x14ac:dyDescent="0.25">
      <c r="A31" s="62" t="s">
        <v>71</v>
      </c>
      <c r="B31" s="62" t="s">
        <v>72</v>
      </c>
      <c r="C31" s="93"/>
      <c r="D31" s="93"/>
      <c r="E31" s="94"/>
      <c r="F31" s="95"/>
      <c r="G31" s="96"/>
      <c r="H31" s="84"/>
      <c r="I31" s="85"/>
      <c r="J31" s="86">
        <f t="shared" si="11"/>
        <v>0</v>
      </c>
      <c r="K31" s="137"/>
      <c r="L31" s="137"/>
      <c r="M31" s="77">
        <f t="shared" si="12"/>
        <v>0</v>
      </c>
      <c r="N31" s="77"/>
      <c r="O31" s="77"/>
      <c r="P31" s="77">
        <f t="shared" si="13"/>
        <v>0</v>
      </c>
      <c r="Q31" s="87">
        <v>577.70000000000005</v>
      </c>
      <c r="R31" s="97">
        <f>P31-Q31</f>
        <v>-577.70000000000005</v>
      </c>
      <c r="S31" s="85">
        <f t="shared" si="20"/>
        <v>0</v>
      </c>
      <c r="T31" s="72" t="str">
        <f t="shared" si="21"/>
        <v>-</v>
      </c>
      <c r="U31" s="138">
        <f t="shared" si="16"/>
        <v>0</v>
      </c>
      <c r="V31" s="139">
        <f t="shared" si="17"/>
        <v>0</v>
      </c>
      <c r="W31" s="74" t="str">
        <f t="shared" si="22"/>
        <v>-</v>
      </c>
      <c r="X31" s="98"/>
    </row>
    <row r="32" spans="1:24" hidden="1" outlineLevel="1" x14ac:dyDescent="0.25">
      <c r="A32" s="62" t="s">
        <v>73</v>
      </c>
      <c r="B32" s="62" t="s">
        <v>74</v>
      </c>
      <c r="C32" s="93"/>
      <c r="D32" s="93"/>
      <c r="E32" s="94"/>
      <c r="F32" s="95"/>
      <c r="G32" s="96"/>
      <c r="H32" s="84"/>
      <c r="I32" s="85"/>
      <c r="J32" s="86">
        <f t="shared" si="11"/>
        <v>0</v>
      </c>
      <c r="K32" s="137"/>
      <c r="L32" s="137"/>
      <c r="M32" s="77">
        <f t="shared" si="12"/>
        <v>0</v>
      </c>
      <c r="N32" s="77"/>
      <c r="O32" s="77"/>
      <c r="P32" s="77">
        <f t="shared" si="13"/>
        <v>0</v>
      </c>
      <c r="Q32" s="87">
        <v>3818.89</v>
      </c>
      <c r="R32" s="97">
        <f>P32-Q32</f>
        <v>-3818.89</v>
      </c>
      <c r="S32" s="85">
        <f t="shared" si="20"/>
        <v>0</v>
      </c>
      <c r="T32" s="72" t="str">
        <f t="shared" si="21"/>
        <v>-</v>
      </c>
      <c r="U32" s="138">
        <f t="shared" si="16"/>
        <v>0</v>
      </c>
      <c r="V32" s="139">
        <f>P32-S32</f>
        <v>0</v>
      </c>
      <c r="W32" s="74" t="str">
        <f t="shared" si="22"/>
        <v>-</v>
      </c>
      <c r="X32" s="98"/>
    </row>
    <row r="33" spans="1:24" ht="15.75" hidden="1" outlineLevel="1" x14ac:dyDescent="0.3">
      <c r="A33" s="28" t="s">
        <v>75</v>
      </c>
      <c r="B33" s="14" t="s">
        <v>76</v>
      </c>
      <c r="C33" s="14"/>
      <c r="D33" s="63" t="s">
        <v>44</v>
      </c>
      <c r="E33" s="64"/>
      <c r="F33" s="101">
        <f>31+16</f>
        <v>47</v>
      </c>
      <c r="G33" s="66">
        <f>E33-F33</f>
        <v>-47</v>
      </c>
      <c r="H33" s="84">
        <f>1063100+3119000</f>
        <v>4182100</v>
      </c>
      <c r="I33" s="85">
        <v>3119000</v>
      </c>
      <c r="J33" s="86">
        <f t="shared" si="11"/>
        <v>-1063100</v>
      </c>
      <c r="K33" s="104"/>
      <c r="L33" s="104"/>
      <c r="M33" s="77">
        <f t="shared" si="12"/>
        <v>0</v>
      </c>
      <c r="N33" s="77">
        <v>4182100</v>
      </c>
      <c r="O33" s="77">
        <v>-1063100</v>
      </c>
      <c r="P33" s="77">
        <f t="shared" si="13"/>
        <v>3119000</v>
      </c>
      <c r="Q33" s="105">
        <v>565981.37</v>
      </c>
      <c r="R33" s="142">
        <f>2400000-Q33</f>
        <v>1834018.63</v>
      </c>
      <c r="S33" s="85">
        <f t="shared" si="20"/>
        <v>2400000</v>
      </c>
      <c r="T33" s="72">
        <f t="shared" si="21"/>
        <v>0.23582557083333333</v>
      </c>
      <c r="U33" s="138">
        <f t="shared" si="16"/>
        <v>-719000</v>
      </c>
      <c r="V33" s="139">
        <f t="shared" si="17"/>
        <v>719000</v>
      </c>
      <c r="W33" s="74">
        <f t="shared" si="22"/>
        <v>0.23052260339852518</v>
      </c>
      <c r="X33" s="143"/>
    </row>
    <row r="34" spans="1:24" ht="15.75" hidden="1" outlineLevel="1" x14ac:dyDescent="0.3">
      <c r="A34" s="28"/>
      <c r="B34" s="14"/>
      <c r="C34" s="14"/>
      <c r="D34" s="63" t="s">
        <v>45</v>
      </c>
      <c r="E34" s="64"/>
      <c r="F34" s="101">
        <f>F33</f>
        <v>47</v>
      </c>
      <c r="G34" s="66">
        <f>E34-F34</f>
        <v>-47</v>
      </c>
      <c r="H34" s="84"/>
      <c r="I34" s="85"/>
      <c r="J34" s="86"/>
      <c r="K34" s="104"/>
      <c r="L34" s="104"/>
      <c r="M34" s="77">
        <f t="shared" si="12"/>
        <v>0</v>
      </c>
      <c r="N34" s="77"/>
      <c r="O34" s="77"/>
      <c r="P34" s="77"/>
      <c r="Q34" s="105"/>
      <c r="R34" s="142"/>
      <c r="S34" s="85"/>
      <c r="T34" s="72"/>
      <c r="U34" s="138"/>
      <c r="V34" s="139"/>
      <c r="W34" s="74"/>
      <c r="X34" s="143"/>
    </row>
    <row r="35" spans="1:24" ht="15.75" hidden="1" outlineLevel="1" x14ac:dyDescent="0.3">
      <c r="A35" s="28" t="s">
        <v>77</v>
      </c>
      <c r="B35" s="14" t="s">
        <v>78</v>
      </c>
      <c r="C35" s="14"/>
      <c r="D35" s="63"/>
      <c r="E35" s="100"/>
      <c r="F35" s="101"/>
      <c r="G35" s="144"/>
      <c r="H35" s="84"/>
      <c r="I35" s="85"/>
      <c r="J35" s="86">
        <f t="shared" si="11"/>
        <v>0</v>
      </c>
      <c r="K35" s="104"/>
      <c r="L35" s="104"/>
      <c r="M35" s="77">
        <f t="shared" si="12"/>
        <v>0</v>
      </c>
      <c r="N35" s="77"/>
      <c r="O35" s="77"/>
      <c r="P35" s="77">
        <f t="shared" si="13"/>
        <v>0</v>
      </c>
      <c r="Q35" s="105">
        <v>0</v>
      </c>
      <c r="R35" s="142">
        <f>45000-Q35</f>
        <v>45000</v>
      </c>
      <c r="S35" s="85">
        <f t="shared" si="20"/>
        <v>45000</v>
      </c>
      <c r="T35" s="72">
        <f t="shared" si="21"/>
        <v>0</v>
      </c>
      <c r="U35" s="138">
        <f t="shared" si="16"/>
        <v>45000</v>
      </c>
      <c r="V35" s="139">
        <f t="shared" si="17"/>
        <v>-45000</v>
      </c>
      <c r="W35" s="74" t="str">
        <f>IF(ISERR(V35/P35),"-",V35/P35)</f>
        <v>-</v>
      </c>
      <c r="X35" s="143"/>
    </row>
    <row r="36" spans="1:24" ht="15.75" collapsed="1" x14ac:dyDescent="0.3">
      <c r="A36" s="1" t="s">
        <v>79</v>
      </c>
      <c r="B36" s="6"/>
      <c r="C36" s="14"/>
      <c r="D36" s="14"/>
      <c r="E36" s="145">
        <f>E28+E34</f>
        <v>0</v>
      </c>
      <c r="F36" s="109">
        <f>F28+F34</f>
        <v>662.28</v>
      </c>
      <c r="G36" s="110">
        <f>G28+G34</f>
        <v>-662.28</v>
      </c>
      <c r="H36" s="113">
        <f t="shared" ref="H36:S36" si="23">SUM(H26:H35)</f>
        <v>38383200</v>
      </c>
      <c r="I36" s="113">
        <f t="shared" si="23"/>
        <v>38583200</v>
      </c>
      <c r="J36" s="146">
        <f t="shared" si="23"/>
        <v>200000</v>
      </c>
      <c r="K36" s="113">
        <f t="shared" si="23"/>
        <v>0</v>
      </c>
      <c r="L36" s="113">
        <f t="shared" si="23"/>
        <v>0</v>
      </c>
      <c r="M36" s="113">
        <f t="shared" si="23"/>
        <v>0</v>
      </c>
      <c r="N36" s="113">
        <f t="shared" si="23"/>
        <v>38383200</v>
      </c>
      <c r="O36" s="113">
        <f t="shared" si="23"/>
        <v>200000</v>
      </c>
      <c r="P36" s="113">
        <f t="shared" si="23"/>
        <v>38583200</v>
      </c>
      <c r="Q36" s="115">
        <f t="shared" si="23"/>
        <v>8458946.25</v>
      </c>
      <c r="R36" s="113">
        <f t="shared" si="23"/>
        <v>31701650.637440003</v>
      </c>
      <c r="S36" s="113">
        <f t="shared" si="23"/>
        <v>40160596.887440003</v>
      </c>
      <c r="T36" s="116">
        <f>IF(ISERR(Q36/S36),"-",Q36/S36)</f>
        <v>0.21062800121492933</v>
      </c>
      <c r="U36" s="147">
        <f>SUM(U26:U35)</f>
        <v>1577396.8874400035</v>
      </c>
      <c r="V36" s="117">
        <f>SUM(V26:V35)</f>
        <v>-1577396.8874400035</v>
      </c>
      <c r="W36" s="118">
        <f>IF(ISERR(V36/P36),"-",V36/P36)</f>
        <v>-4.088299797424795E-2</v>
      </c>
      <c r="X36" s="119"/>
    </row>
    <row r="37" spans="1:24" ht="15.75" x14ac:dyDescent="0.3">
      <c r="A37" s="6"/>
      <c r="B37" s="6"/>
      <c r="C37" s="14"/>
      <c r="D37" s="14"/>
      <c r="E37" s="120"/>
      <c r="F37" s="121"/>
      <c r="G37" s="122"/>
      <c r="H37" s="120"/>
      <c r="I37" s="14"/>
      <c r="J37" s="14"/>
      <c r="K37" s="14"/>
      <c r="L37" s="14"/>
      <c r="M37" s="14"/>
      <c r="N37" s="14"/>
      <c r="O37" s="14"/>
      <c r="P37" s="14"/>
      <c r="Q37" s="55"/>
      <c r="R37" s="14"/>
      <c r="S37" s="14"/>
      <c r="T37" s="14"/>
      <c r="U37" s="61"/>
      <c r="V37" s="134"/>
      <c r="W37" s="135"/>
      <c r="X37" s="106"/>
    </row>
    <row r="38" spans="1:24" ht="15.75" x14ac:dyDescent="0.3">
      <c r="A38" s="1"/>
      <c r="B38" s="6"/>
      <c r="C38" s="14"/>
      <c r="D38" s="14"/>
      <c r="E38" s="120"/>
      <c r="F38" s="121"/>
      <c r="G38" s="122"/>
      <c r="H38" s="120"/>
      <c r="I38" s="104"/>
      <c r="J38" s="104"/>
      <c r="K38" s="104"/>
      <c r="L38" s="104"/>
      <c r="M38" s="104"/>
      <c r="N38" s="104"/>
      <c r="O38" s="104"/>
      <c r="P38" s="104"/>
      <c r="Q38" s="105"/>
      <c r="R38" s="104"/>
      <c r="S38" s="104"/>
      <c r="T38" s="72"/>
      <c r="U38" s="148"/>
      <c r="V38" s="149"/>
      <c r="W38" s="127"/>
      <c r="X38" s="128"/>
    </row>
    <row r="39" spans="1:24" ht="15.75" hidden="1" outlineLevel="1" x14ac:dyDescent="0.3">
      <c r="A39" s="59" t="s">
        <v>80</v>
      </c>
      <c r="B39" s="6"/>
      <c r="C39" s="14"/>
      <c r="D39" s="14"/>
      <c r="E39" s="120"/>
      <c r="F39" s="121"/>
      <c r="G39" s="122"/>
      <c r="H39" s="120"/>
      <c r="I39" s="104"/>
      <c r="J39" s="104"/>
      <c r="K39" s="104"/>
      <c r="L39" s="104"/>
      <c r="M39" s="104"/>
      <c r="N39" s="104"/>
      <c r="O39" s="104"/>
      <c r="P39" s="104"/>
      <c r="Q39" s="105"/>
      <c r="R39" s="104"/>
      <c r="S39" s="104"/>
      <c r="T39" s="104"/>
      <c r="U39" s="150"/>
      <c r="V39" s="149"/>
      <c r="W39" s="127"/>
      <c r="X39" s="128"/>
    </row>
    <row r="40" spans="1:24" ht="15.75" hidden="1" outlineLevel="1" x14ac:dyDescent="0.3">
      <c r="A40" s="28" t="s">
        <v>81</v>
      </c>
      <c r="B40" s="28" t="s">
        <v>82</v>
      </c>
      <c r="C40" s="14"/>
      <c r="D40" s="63" t="s">
        <v>44</v>
      </c>
      <c r="E40" s="64"/>
      <c r="F40" s="121">
        <v>90.73</v>
      </c>
      <c r="G40" s="66">
        <f t="shared" ref="G40:G41" si="24">E40-F40</f>
        <v>-90.73</v>
      </c>
      <c r="H40" s="151">
        <v>4547300</v>
      </c>
      <c r="I40" s="85">
        <v>4547300</v>
      </c>
      <c r="J40" s="86">
        <f t="shared" ref="J40:J54" si="25">I40-H40</f>
        <v>0</v>
      </c>
      <c r="K40" s="104"/>
      <c r="L40" s="104"/>
      <c r="M40" s="68">
        <f>K40+L40</f>
        <v>0</v>
      </c>
      <c r="N40" s="68">
        <v>4547300</v>
      </c>
      <c r="O40" s="68"/>
      <c r="P40" s="68">
        <f>M40+N40+O40</f>
        <v>4547300</v>
      </c>
      <c r="Q40" s="105">
        <v>936633.37</v>
      </c>
      <c r="R40" s="142">
        <f>[1]SAA!R129-'[1]Operating Results'!Q40</f>
        <v>4293420.9839999937</v>
      </c>
      <c r="S40" s="89">
        <f>SUM(Q40:R40)</f>
        <v>5230054.3539999938</v>
      </c>
      <c r="T40" s="90">
        <f>IF(ISERR(Q40/S40),"-",Q40/S40)</f>
        <v>0.17908673726949972</v>
      </c>
      <c r="U40" s="138">
        <f t="shared" ref="U40:U54" si="26">S40-I40</f>
        <v>682754.35399999376</v>
      </c>
      <c r="V40" s="78">
        <f>P40-S40</f>
        <v>-682754.35399999376</v>
      </c>
      <c r="W40" s="74">
        <f>IF(ISERR(V40/P40),"-",V40/P40)</f>
        <v>-0.1501449990104004</v>
      </c>
      <c r="X40" s="106"/>
    </row>
    <row r="41" spans="1:24" ht="15.75" hidden="1" outlineLevel="1" x14ac:dyDescent="0.3">
      <c r="A41" s="28"/>
      <c r="B41" s="28"/>
      <c r="C41" s="14"/>
      <c r="D41" s="63" t="s">
        <v>45</v>
      </c>
      <c r="E41" s="64"/>
      <c r="F41" s="121">
        <f>F40</f>
        <v>90.73</v>
      </c>
      <c r="G41" s="66">
        <f t="shared" si="24"/>
        <v>-90.73</v>
      </c>
      <c r="H41" s="151"/>
      <c r="I41" s="85"/>
      <c r="J41" s="86"/>
      <c r="K41" s="104"/>
      <c r="L41" s="104"/>
      <c r="M41" s="68"/>
      <c r="N41" s="68"/>
      <c r="O41" s="68"/>
      <c r="P41" s="85"/>
      <c r="Q41" s="105"/>
      <c r="R41" s="104"/>
      <c r="S41" s="89"/>
      <c r="T41" s="90"/>
      <c r="U41" s="138"/>
      <c r="V41" s="78"/>
      <c r="W41" s="74"/>
      <c r="X41" s="106"/>
    </row>
    <row r="42" spans="1:24" ht="15.75" hidden="1" outlineLevel="1" x14ac:dyDescent="0.3">
      <c r="A42" s="28" t="s">
        <v>83</v>
      </c>
      <c r="B42" s="28" t="s">
        <v>84</v>
      </c>
      <c r="C42" s="14"/>
      <c r="D42" s="63"/>
      <c r="E42" s="120"/>
      <c r="F42" s="121"/>
      <c r="G42" s="144"/>
      <c r="H42" s="84"/>
      <c r="I42" s="85"/>
      <c r="J42" s="86">
        <f t="shared" si="25"/>
        <v>0</v>
      </c>
      <c r="K42" s="104"/>
      <c r="L42" s="104"/>
      <c r="M42" s="85">
        <f>K42+L42</f>
        <v>0</v>
      </c>
      <c r="N42" s="85"/>
      <c r="O42" s="85"/>
      <c r="P42" s="85">
        <f>M42+N42+O42</f>
        <v>0</v>
      </c>
      <c r="Q42" s="105">
        <v>32394.6</v>
      </c>
      <c r="R42" s="142">
        <f>128500-Q42</f>
        <v>96105.4</v>
      </c>
      <c r="S42" s="89">
        <f>SUM(Q42:R42)</f>
        <v>128500</v>
      </c>
      <c r="T42" s="90">
        <f>IF(ISERR(Q42/S42),"-",Q42/S42)</f>
        <v>0.25209805447470818</v>
      </c>
      <c r="U42" s="138">
        <f t="shared" si="26"/>
        <v>128500</v>
      </c>
      <c r="V42" s="91">
        <f t="shared" ref="V42:V54" si="27">P42-S42</f>
        <v>-128500</v>
      </c>
      <c r="W42" s="74" t="str">
        <f t="shared" ref="W42:W45" si="28">IF(ISERR(V42/P42),"-",V42/P42)</f>
        <v>-</v>
      </c>
      <c r="X42" s="106"/>
    </row>
    <row r="43" spans="1:24" hidden="1" outlineLevel="1" x14ac:dyDescent="0.25">
      <c r="A43" s="62" t="s">
        <v>85</v>
      </c>
      <c r="B43" s="62" t="s">
        <v>86</v>
      </c>
      <c r="C43" s="93"/>
      <c r="D43" s="93"/>
      <c r="E43" s="94"/>
      <c r="F43" s="95"/>
      <c r="G43" s="96"/>
      <c r="H43" s="151">
        <v>238400</v>
      </c>
      <c r="I43" s="85">
        <v>238400</v>
      </c>
      <c r="J43" s="86">
        <f t="shared" si="25"/>
        <v>0</v>
      </c>
      <c r="K43" s="97"/>
      <c r="L43" s="97"/>
      <c r="M43" s="85">
        <f t="shared" ref="M43:M54" si="29">K43+L43</f>
        <v>0</v>
      </c>
      <c r="N43" s="85">
        <v>238400</v>
      </c>
      <c r="O43" s="85"/>
      <c r="P43" s="85">
        <f t="shared" ref="P43:P54" si="30">M43+N43+O43</f>
        <v>238400</v>
      </c>
      <c r="Q43" s="87">
        <v>94526.98</v>
      </c>
      <c r="R43" s="99">
        <f>260000-Q43</f>
        <v>165473.02000000002</v>
      </c>
      <c r="S43" s="89">
        <f>SUM(Q43:R43)</f>
        <v>260000</v>
      </c>
      <c r="T43" s="90">
        <f>IF(ISERR(Q43/S43),"-",Q43/S43)</f>
        <v>0.36356530769230766</v>
      </c>
      <c r="U43" s="138">
        <f t="shared" si="26"/>
        <v>21600</v>
      </c>
      <c r="V43" s="91">
        <f t="shared" si="27"/>
        <v>-21600</v>
      </c>
      <c r="W43" s="74">
        <f t="shared" si="28"/>
        <v>-9.0604026845637578E-2</v>
      </c>
      <c r="X43" s="98"/>
    </row>
    <row r="44" spans="1:24" hidden="1" outlineLevel="1" x14ac:dyDescent="0.25">
      <c r="A44" s="62" t="s">
        <v>87</v>
      </c>
      <c r="B44" s="62" t="s">
        <v>88</v>
      </c>
      <c r="C44" s="93"/>
      <c r="D44" s="93"/>
      <c r="E44" s="94"/>
      <c r="F44" s="95"/>
      <c r="G44" s="96"/>
      <c r="H44" s="84"/>
      <c r="I44" s="85">
        <v>530020</v>
      </c>
      <c r="J44" s="86">
        <f t="shared" si="25"/>
        <v>530020</v>
      </c>
      <c r="K44" s="97"/>
      <c r="L44" s="97"/>
      <c r="M44" s="85">
        <f t="shared" si="29"/>
        <v>0</v>
      </c>
      <c r="N44" s="85"/>
      <c r="O44" s="85">
        <v>530020</v>
      </c>
      <c r="P44" s="85">
        <f t="shared" si="30"/>
        <v>530020</v>
      </c>
      <c r="Q44" s="87">
        <v>24481.59</v>
      </c>
      <c r="R44" s="97">
        <f>P44-Q44</f>
        <v>505538.41</v>
      </c>
      <c r="S44" s="89">
        <f>SUM(Q44:R44)</f>
        <v>530020</v>
      </c>
      <c r="T44" s="90">
        <f>IF(ISERR(Q44/S44),"-",Q44/S44)</f>
        <v>4.6189936228821553E-2</v>
      </c>
      <c r="U44" s="138">
        <f t="shared" si="26"/>
        <v>0</v>
      </c>
      <c r="V44" s="91">
        <f t="shared" si="27"/>
        <v>0</v>
      </c>
      <c r="W44" s="74">
        <f t="shared" si="28"/>
        <v>0</v>
      </c>
      <c r="X44" s="98"/>
    </row>
    <row r="45" spans="1:24" ht="15.75" hidden="1" outlineLevel="1" x14ac:dyDescent="0.3">
      <c r="A45" s="28" t="s">
        <v>89</v>
      </c>
      <c r="B45" s="14" t="s">
        <v>90</v>
      </c>
      <c r="C45" s="14"/>
      <c r="D45" s="63" t="s">
        <v>44</v>
      </c>
      <c r="E45" s="64"/>
      <c r="F45" s="121">
        <f>14.5+5+6+1.7+13.59</f>
        <v>40.79</v>
      </c>
      <c r="G45" s="66">
        <f t="shared" ref="G45:G46" si="31">E45-F45</f>
        <v>-40.79</v>
      </c>
      <c r="H45" s="152">
        <v>5900700</v>
      </c>
      <c r="I45" s="68">
        <v>5900700</v>
      </c>
      <c r="J45" s="86">
        <f t="shared" si="25"/>
        <v>0</v>
      </c>
      <c r="K45" s="153"/>
      <c r="L45" s="154"/>
      <c r="M45" s="85">
        <f t="shared" si="29"/>
        <v>0</v>
      </c>
      <c r="N45" s="85">
        <v>5900700</v>
      </c>
      <c r="O45" s="85"/>
      <c r="P45" s="85">
        <f t="shared" si="30"/>
        <v>5900700</v>
      </c>
      <c r="Q45" s="155">
        <v>630839.06000000006</v>
      </c>
      <c r="R45" s="156">
        <f>3900000-Q45+108000+108000</f>
        <v>3485160.94</v>
      </c>
      <c r="S45" s="157">
        <f t="shared" ref="S45:S47" si="32">SUM(Q45:R45)</f>
        <v>4116000</v>
      </c>
      <c r="T45" s="90">
        <f t="shared" ref="T45:T55" si="33">IF(ISERR(Q45/S45),"-",Q45/S45)</f>
        <v>0.15326507774538389</v>
      </c>
      <c r="U45" s="138">
        <f t="shared" si="26"/>
        <v>-1784700</v>
      </c>
      <c r="V45" s="91">
        <f t="shared" si="27"/>
        <v>1784700</v>
      </c>
      <c r="W45" s="158">
        <f t="shared" si="28"/>
        <v>0.30245564085616961</v>
      </c>
      <c r="X45" s="106"/>
    </row>
    <row r="46" spans="1:24" ht="15.75" hidden="1" outlineLevel="1" x14ac:dyDescent="0.3">
      <c r="A46" s="28"/>
      <c r="B46" s="14"/>
      <c r="C46" s="14"/>
      <c r="D46" s="63" t="s">
        <v>45</v>
      </c>
      <c r="E46" s="64"/>
      <c r="F46" s="121">
        <f>F45</f>
        <v>40.79</v>
      </c>
      <c r="G46" s="66">
        <f t="shared" si="31"/>
        <v>-40.79</v>
      </c>
      <c r="H46" s="152"/>
      <c r="I46" s="68"/>
      <c r="J46" s="86"/>
      <c r="K46" s="153"/>
      <c r="L46" s="153"/>
      <c r="M46" s="85">
        <f t="shared" si="29"/>
        <v>0</v>
      </c>
      <c r="N46" s="85"/>
      <c r="O46" s="85"/>
      <c r="P46" s="85">
        <f t="shared" si="30"/>
        <v>0</v>
      </c>
      <c r="Q46" s="155"/>
      <c r="R46" s="157"/>
      <c r="S46" s="157"/>
      <c r="T46" s="90"/>
      <c r="U46" s="138"/>
      <c r="V46" s="91"/>
      <c r="W46" s="158"/>
      <c r="X46" s="106"/>
    </row>
    <row r="47" spans="1:24" ht="15.75" hidden="1" outlineLevel="1" x14ac:dyDescent="0.3">
      <c r="A47" s="28" t="s">
        <v>91</v>
      </c>
      <c r="B47" s="28" t="s">
        <v>92</v>
      </c>
      <c r="C47" s="14"/>
      <c r="D47" s="14"/>
      <c r="E47" s="120"/>
      <c r="F47" s="121"/>
      <c r="G47" s="144"/>
      <c r="H47" s="152">
        <v>215600</v>
      </c>
      <c r="I47" s="85">
        <v>215600</v>
      </c>
      <c r="J47" s="86">
        <f t="shared" si="25"/>
        <v>0</v>
      </c>
      <c r="K47" s="154"/>
      <c r="L47" s="154"/>
      <c r="M47" s="85">
        <f t="shared" si="29"/>
        <v>0</v>
      </c>
      <c r="N47" s="85">
        <v>215600</v>
      </c>
      <c r="O47" s="85"/>
      <c r="P47" s="85">
        <f t="shared" si="30"/>
        <v>215600</v>
      </c>
      <c r="Q47" s="105">
        <v>10631.9</v>
      </c>
      <c r="R47" s="142">
        <f>P47-Q47</f>
        <v>204968.1</v>
      </c>
      <c r="S47" s="89">
        <f t="shared" si="32"/>
        <v>215600</v>
      </c>
      <c r="T47" s="90">
        <f t="shared" si="33"/>
        <v>4.9313079777365487E-2</v>
      </c>
      <c r="U47" s="138">
        <f t="shared" si="26"/>
        <v>0</v>
      </c>
      <c r="V47" s="91">
        <f t="shared" si="27"/>
        <v>0</v>
      </c>
      <c r="W47" s="158">
        <f>IF(ISERR(V47/P47),"-",V47/P47)</f>
        <v>0</v>
      </c>
      <c r="X47" s="106"/>
    </row>
    <row r="48" spans="1:24" hidden="1" outlineLevel="1" x14ac:dyDescent="0.25">
      <c r="A48" s="159" t="s">
        <v>93</v>
      </c>
      <c r="B48" s="159" t="s">
        <v>94</v>
      </c>
      <c r="C48" s="79"/>
      <c r="D48" s="63" t="s">
        <v>44</v>
      </c>
      <c r="E48" s="64"/>
      <c r="F48" s="160">
        <v>26.62</v>
      </c>
      <c r="G48" s="66">
        <f t="shared" ref="G48:G49" si="34">E48-F48</f>
        <v>-26.62</v>
      </c>
      <c r="H48" s="152">
        <f>887800+307739</f>
        <v>1195539</v>
      </c>
      <c r="I48" s="85">
        <v>1195539</v>
      </c>
      <c r="J48" s="86">
        <f t="shared" si="25"/>
        <v>0</v>
      </c>
      <c r="K48" s="161"/>
      <c r="L48" s="161"/>
      <c r="M48" s="85">
        <f t="shared" si="29"/>
        <v>0</v>
      </c>
      <c r="N48" s="85">
        <v>1195539</v>
      </c>
      <c r="O48" s="85"/>
      <c r="P48" s="85">
        <f t="shared" si="30"/>
        <v>1195539</v>
      </c>
      <c r="Q48" s="162">
        <v>136598.21</v>
      </c>
      <c r="R48" s="88">
        <f>[1]LA!Q69-'[1]Operating Results'!Q48+240000</f>
        <v>297067.73300000001</v>
      </c>
      <c r="S48" s="89">
        <f t="shared" ref="S48:S54" si="35">SUM(Q48:R48)</f>
        <v>433665.94299999997</v>
      </c>
      <c r="T48" s="90">
        <f t="shared" si="33"/>
        <v>0.3149848684336275</v>
      </c>
      <c r="U48" s="138">
        <f t="shared" si="26"/>
        <v>-761873.05700000003</v>
      </c>
      <c r="V48" s="91">
        <f t="shared" si="27"/>
        <v>761873.05700000003</v>
      </c>
      <c r="W48" s="74">
        <f>IF(ISERR(V48/P48),"-",V48/P48)</f>
        <v>0.63726324026234193</v>
      </c>
      <c r="X48" s="163"/>
    </row>
    <row r="49" spans="1:24" hidden="1" outlineLevel="1" x14ac:dyDescent="0.25">
      <c r="A49" s="159"/>
      <c r="B49" s="159"/>
      <c r="C49" s="79"/>
      <c r="D49" s="63" t="s">
        <v>45</v>
      </c>
      <c r="E49" s="64"/>
      <c r="F49" s="160">
        <f>F48</f>
        <v>26.62</v>
      </c>
      <c r="G49" s="66">
        <f t="shared" si="34"/>
        <v>-26.62</v>
      </c>
      <c r="H49" s="152"/>
      <c r="I49" s="85"/>
      <c r="J49" s="86"/>
      <c r="K49" s="161"/>
      <c r="L49" s="161"/>
      <c r="M49" s="85">
        <f t="shared" si="29"/>
        <v>0</v>
      </c>
      <c r="N49" s="85"/>
      <c r="O49" s="85"/>
      <c r="P49" s="85">
        <f t="shared" si="30"/>
        <v>0</v>
      </c>
      <c r="Q49" s="162"/>
      <c r="R49" s="161"/>
      <c r="S49" s="89"/>
      <c r="T49" s="90"/>
      <c r="U49" s="138"/>
      <c r="V49" s="91"/>
      <c r="W49" s="74"/>
      <c r="X49" s="163"/>
    </row>
    <row r="50" spans="1:24" hidden="1" outlineLevel="1" x14ac:dyDescent="0.25">
      <c r="A50" s="159" t="s">
        <v>95</v>
      </c>
      <c r="B50" s="159" t="s">
        <v>96</v>
      </c>
      <c r="C50" s="79"/>
      <c r="D50" s="63"/>
      <c r="E50" s="164"/>
      <c r="F50" s="160"/>
      <c r="G50" s="66"/>
      <c r="H50" s="84"/>
      <c r="I50" s="85"/>
      <c r="J50" s="86">
        <f t="shared" si="25"/>
        <v>0</v>
      </c>
      <c r="K50" s="161"/>
      <c r="L50" s="161"/>
      <c r="M50" s="85">
        <f t="shared" si="29"/>
        <v>0</v>
      </c>
      <c r="N50" s="85"/>
      <c r="O50" s="85"/>
      <c r="P50" s="85">
        <f t="shared" si="30"/>
        <v>0</v>
      </c>
      <c r="Q50" s="162">
        <v>10228.41</v>
      </c>
      <c r="R50" s="161">
        <f>12000-Q50</f>
        <v>1771.5900000000001</v>
      </c>
      <c r="S50" s="89">
        <f t="shared" si="35"/>
        <v>12000</v>
      </c>
      <c r="T50" s="90">
        <f t="shared" si="33"/>
        <v>0.85236749999999994</v>
      </c>
      <c r="U50" s="138">
        <f t="shared" si="26"/>
        <v>12000</v>
      </c>
      <c r="V50" s="91">
        <f t="shared" si="27"/>
        <v>-12000</v>
      </c>
      <c r="W50" s="74" t="str">
        <f t="shared" ref="W50:W55" si="36">IF(ISERR(V50/P50),"-",V50/P50)</f>
        <v>-</v>
      </c>
      <c r="X50" s="163"/>
    </row>
    <row r="51" spans="1:24" hidden="1" outlineLevel="1" x14ac:dyDescent="0.25">
      <c r="A51" s="159" t="s">
        <v>97</v>
      </c>
      <c r="B51" s="159" t="s">
        <v>98</v>
      </c>
      <c r="C51" s="79"/>
      <c r="D51" s="63"/>
      <c r="E51" s="164"/>
      <c r="F51" s="160"/>
      <c r="G51" s="144"/>
      <c r="H51" s="84"/>
      <c r="I51" s="85"/>
      <c r="J51" s="86">
        <f t="shared" si="25"/>
        <v>0</v>
      </c>
      <c r="K51" s="161"/>
      <c r="L51" s="161"/>
      <c r="M51" s="85">
        <f t="shared" si="29"/>
        <v>0</v>
      </c>
      <c r="N51" s="85"/>
      <c r="O51" s="85"/>
      <c r="P51" s="85">
        <f t="shared" si="30"/>
        <v>0</v>
      </c>
      <c r="Q51" s="162">
        <v>22538.240000000002</v>
      </c>
      <c r="R51" s="161">
        <f>32000-Q51</f>
        <v>9461.7599999999984</v>
      </c>
      <c r="S51" s="89">
        <f t="shared" si="35"/>
        <v>32000</v>
      </c>
      <c r="T51" s="90">
        <f t="shared" si="33"/>
        <v>0.70432000000000006</v>
      </c>
      <c r="U51" s="138">
        <f t="shared" si="26"/>
        <v>32000</v>
      </c>
      <c r="V51" s="91">
        <f t="shared" si="27"/>
        <v>-32000</v>
      </c>
      <c r="W51" s="74" t="str">
        <f t="shared" si="36"/>
        <v>-</v>
      </c>
      <c r="X51" s="163"/>
    </row>
    <row r="52" spans="1:24" hidden="1" outlineLevel="1" x14ac:dyDescent="0.25">
      <c r="A52" s="159" t="s">
        <v>99</v>
      </c>
      <c r="B52" s="159" t="s">
        <v>100</v>
      </c>
      <c r="C52" s="79"/>
      <c r="D52" s="63"/>
      <c r="E52" s="164"/>
      <c r="F52" s="160"/>
      <c r="G52" s="144"/>
      <c r="H52" s="84"/>
      <c r="I52" s="85"/>
      <c r="J52" s="86">
        <f t="shared" si="25"/>
        <v>0</v>
      </c>
      <c r="K52" s="161"/>
      <c r="L52" s="161"/>
      <c r="M52" s="85">
        <f t="shared" si="29"/>
        <v>0</v>
      </c>
      <c r="N52" s="85"/>
      <c r="O52" s="85"/>
      <c r="P52" s="85">
        <f t="shared" si="30"/>
        <v>0</v>
      </c>
      <c r="Q52" s="162"/>
      <c r="R52" s="161">
        <f>P52-Q52</f>
        <v>0</v>
      </c>
      <c r="S52" s="89">
        <f t="shared" si="35"/>
        <v>0</v>
      </c>
      <c r="T52" s="90" t="str">
        <f t="shared" si="33"/>
        <v>-</v>
      </c>
      <c r="U52" s="138">
        <f t="shared" si="26"/>
        <v>0</v>
      </c>
      <c r="V52" s="91">
        <f t="shared" si="27"/>
        <v>0</v>
      </c>
      <c r="W52" s="74" t="str">
        <f t="shared" si="36"/>
        <v>-</v>
      </c>
      <c r="X52" s="163"/>
    </row>
    <row r="53" spans="1:24" hidden="1" outlineLevel="1" x14ac:dyDescent="0.25">
      <c r="A53" s="159" t="s">
        <v>101</v>
      </c>
      <c r="B53" s="159" t="s">
        <v>102</v>
      </c>
      <c r="C53" s="79"/>
      <c r="D53" s="63"/>
      <c r="E53" s="164"/>
      <c r="F53" s="160"/>
      <c r="G53" s="144"/>
      <c r="H53" s="84"/>
      <c r="I53" s="85"/>
      <c r="J53" s="86">
        <f t="shared" si="25"/>
        <v>0</v>
      </c>
      <c r="K53" s="161"/>
      <c r="L53" s="161"/>
      <c r="M53" s="85">
        <f t="shared" si="29"/>
        <v>0</v>
      </c>
      <c r="N53" s="85"/>
      <c r="O53" s="85"/>
      <c r="P53" s="85">
        <f t="shared" si="30"/>
        <v>0</v>
      </c>
      <c r="Q53" s="162">
        <v>46197.14</v>
      </c>
      <c r="R53" s="161">
        <f>P53-Q53</f>
        <v>-46197.14</v>
      </c>
      <c r="S53" s="89">
        <f t="shared" si="35"/>
        <v>0</v>
      </c>
      <c r="T53" s="90" t="str">
        <f t="shared" si="33"/>
        <v>-</v>
      </c>
      <c r="U53" s="138">
        <f t="shared" si="26"/>
        <v>0</v>
      </c>
      <c r="V53" s="91">
        <f t="shared" si="27"/>
        <v>0</v>
      </c>
      <c r="W53" s="74" t="str">
        <f t="shared" si="36"/>
        <v>-</v>
      </c>
      <c r="X53" s="163"/>
    </row>
    <row r="54" spans="1:24" hidden="1" outlineLevel="1" x14ac:dyDescent="0.25">
      <c r="A54" s="159" t="s">
        <v>103</v>
      </c>
      <c r="B54" s="159" t="s">
        <v>104</v>
      </c>
      <c r="C54" s="79"/>
      <c r="D54" s="63"/>
      <c r="E54" s="164"/>
      <c r="F54" s="160"/>
      <c r="G54" s="144"/>
      <c r="H54" s="84"/>
      <c r="I54" s="85"/>
      <c r="J54" s="86">
        <f t="shared" si="25"/>
        <v>0</v>
      </c>
      <c r="K54" s="161"/>
      <c r="L54" s="161"/>
      <c r="M54" s="85">
        <f t="shared" si="29"/>
        <v>0</v>
      </c>
      <c r="N54" s="85"/>
      <c r="O54" s="85"/>
      <c r="P54" s="85">
        <f t="shared" si="30"/>
        <v>0</v>
      </c>
      <c r="Q54" s="162">
        <f>24873.21+689.06</f>
        <v>25562.27</v>
      </c>
      <c r="R54" s="161">
        <f>P54-Q54</f>
        <v>-25562.27</v>
      </c>
      <c r="S54" s="89">
        <f t="shared" si="35"/>
        <v>0</v>
      </c>
      <c r="T54" s="90" t="str">
        <f t="shared" si="33"/>
        <v>-</v>
      </c>
      <c r="U54" s="138">
        <f t="shared" si="26"/>
        <v>0</v>
      </c>
      <c r="V54" s="91">
        <f t="shared" si="27"/>
        <v>0</v>
      </c>
      <c r="W54" s="74" t="str">
        <f t="shared" si="36"/>
        <v>-</v>
      </c>
      <c r="X54" s="163"/>
    </row>
    <row r="55" spans="1:24" ht="15.75" collapsed="1" x14ac:dyDescent="0.3">
      <c r="A55" s="1" t="s">
        <v>105</v>
      </c>
      <c r="B55" s="14"/>
      <c r="C55" s="14"/>
      <c r="D55" s="14"/>
      <c r="E55" s="145">
        <f>SUM(E40:E54)</f>
        <v>0</v>
      </c>
      <c r="F55" s="109">
        <f>F41+F46+F49</f>
        <v>158.14000000000001</v>
      </c>
      <c r="G55" s="110">
        <f t="shared" ref="G55:S55" si="37">SUM(G40:G54)</f>
        <v>-316.28000000000003</v>
      </c>
      <c r="H55" s="113">
        <f t="shared" si="37"/>
        <v>12097539</v>
      </c>
      <c r="I55" s="113">
        <f t="shared" si="37"/>
        <v>12627559</v>
      </c>
      <c r="J55" s="146">
        <f t="shared" si="37"/>
        <v>530020</v>
      </c>
      <c r="K55" s="113">
        <f t="shared" si="37"/>
        <v>0</v>
      </c>
      <c r="L55" s="113">
        <f t="shared" si="37"/>
        <v>0</v>
      </c>
      <c r="M55" s="113">
        <f t="shared" si="37"/>
        <v>0</v>
      </c>
      <c r="N55" s="113">
        <f t="shared" si="37"/>
        <v>12097539</v>
      </c>
      <c r="O55" s="165">
        <f t="shared" si="37"/>
        <v>530020</v>
      </c>
      <c r="P55" s="113">
        <f t="shared" si="37"/>
        <v>12627559</v>
      </c>
      <c r="Q55" s="115">
        <f t="shared" si="37"/>
        <v>1970631.7699999998</v>
      </c>
      <c r="R55" s="113">
        <f t="shared" si="37"/>
        <v>8987208.5269999932</v>
      </c>
      <c r="S55" s="113">
        <f t="shared" si="37"/>
        <v>10957840.296999995</v>
      </c>
      <c r="T55" s="116">
        <f t="shared" si="33"/>
        <v>0.1798376063702547</v>
      </c>
      <c r="U55" s="147">
        <f>SUM(U40:U54)</f>
        <v>-1669718.7030000063</v>
      </c>
      <c r="V55" s="117">
        <f>SUM(V40:V54)</f>
        <v>1669718.7030000063</v>
      </c>
      <c r="W55" s="118">
        <f t="shared" si="36"/>
        <v>0.13222814504371005</v>
      </c>
      <c r="X55" s="119"/>
    </row>
    <row r="56" spans="1:24" ht="15.75" x14ac:dyDescent="0.3">
      <c r="A56" s="1"/>
      <c r="B56" s="6"/>
      <c r="C56" s="14"/>
      <c r="D56" s="14"/>
      <c r="E56" s="120"/>
      <c r="F56" s="121"/>
      <c r="G56" s="122"/>
      <c r="H56" s="120"/>
      <c r="I56" s="104"/>
      <c r="J56" s="104"/>
      <c r="K56" s="104"/>
      <c r="L56" s="104"/>
      <c r="M56" s="104"/>
      <c r="N56" s="104"/>
      <c r="O56" s="104"/>
      <c r="P56" s="104"/>
      <c r="Q56" s="105"/>
      <c r="R56" s="104"/>
      <c r="S56" s="104"/>
      <c r="T56" s="72"/>
      <c r="U56" s="148"/>
      <c r="V56" s="149"/>
      <c r="W56" s="127"/>
      <c r="X56" s="128"/>
    </row>
    <row r="57" spans="1:24" ht="15.75" x14ac:dyDescent="0.3">
      <c r="A57" s="1"/>
      <c r="B57" s="6"/>
      <c r="C57" s="14"/>
      <c r="D57" s="14"/>
      <c r="E57" s="120"/>
      <c r="F57" s="121"/>
      <c r="G57" s="122"/>
      <c r="H57" s="120"/>
      <c r="I57" s="104"/>
      <c r="J57" s="104"/>
      <c r="K57" s="104"/>
      <c r="L57" s="104"/>
      <c r="M57" s="104"/>
      <c r="N57" s="104"/>
      <c r="O57" s="104"/>
      <c r="P57" s="104"/>
      <c r="Q57" s="105"/>
      <c r="R57" s="104"/>
      <c r="S57" s="104"/>
      <c r="T57" s="72"/>
      <c r="U57" s="148"/>
      <c r="V57" s="149"/>
      <c r="W57" s="127"/>
      <c r="X57" s="128"/>
    </row>
    <row r="58" spans="1:24" ht="15.75" hidden="1" outlineLevel="1" x14ac:dyDescent="0.3">
      <c r="A58" s="59" t="s">
        <v>106</v>
      </c>
      <c r="B58" s="6"/>
      <c r="C58" s="14"/>
      <c r="D58" s="14"/>
      <c r="E58" s="120"/>
      <c r="F58" s="121"/>
      <c r="G58" s="122"/>
      <c r="H58" s="120"/>
      <c r="I58" s="104"/>
      <c r="J58" s="104"/>
      <c r="K58" s="104"/>
      <c r="L58" s="104"/>
      <c r="M58" s="104"/>
      <c r="N58" s="104"/>
      <c r="O58" s="104"/>
      <c r="P58" s="104"/>
      <c r="Q58" s="105"/>
      <c r="R58" s="104"/>
      <c r="S58" s="104"/>
      <c r="T58" s="104"/>
      <c r="U58" s="150"/>
      <c r="V58" s="149"/>
      <c r="W58" s="127"/>
      <c r="X58" s="128"/>
    </row>
    <row r="59" spans="1:24" ht="15.75" hidden="1" outlineLevel="1" x14ac:dyDescent="0.3">
      <c r="A59" s="28" t="s">
        <v>107</v>
      </c>
      <c r="B59" s="14" t="s">
        <v>108</v>
      </c>
      <c r="C59" s="14"/>
      <c r="D59" s="63" t="s">
        <v>44</v>
      </c>
      <c r="E59" s="64"/>
      <c r="F59" s="121">
        <v>8.5</v>
      </c>
      <c r="G59" s="66">
        <f t="shared" ref="G59:G60" si="38">E59-F59</f>
        <v>-8.5</v>
      </c>
      <c r="H59" s="84">
        <v>622300</v>
      </c>
      <c r="I59" s="68">
        <v>622300</v>
      </c>
      <c r="J59" s="76">
        <f t="shared" ref="J59:J67" si="39">I59-H59</f>
        <v>0</v>
      </c>
      <c r="K59" s="153"/>
      <c r="L59" s="153"/>
      <c r="M59" s="68">
        <f>K59+L59</f>
        <v>0</v>
      </c>
      <c r="N59" s="68">
        <v>622300</v>
      </c>
      <c r="O59" s="68"/>
      <c r="P59" s="68">
        <f>M59+N59+O59</f>
        <v>622300</v>
      </c>
      <c r="Q59" s="155">
        <v>115393.62</v>
      </c>
      <c r="R59" s="156">
        <f>669500-Q59-213560</f>
        <v>340546.38</v>
      </c>
      <c r="S59" s="157">
        <f t="shared" ref="S59:S65" si="40">SUM(Q59:R59)</f>
        <v>455940</v>
      </c>
      <c r="T59" s="90">
        <f t="shared" ref="T59:T66" si="41">IF(ISERR(Q59/S59),"-",Q59/S59)</f>
        <v>0.25308948545861298</v>
      </c>
      <c r="U59" s="138">
        <f t="shared" ref="U59:U67" si="42">S59-I59</f>
        <v>-166360</v>
      </c>
      <c r="V59" s="126">
        <f t="shared" ref="V59:V67" si="43">P59-S59</f>
        <v>166360</v>
      </c>
      <c r="W59" s="158">
        <f>IF(ISERR(V59/P59),"-",V59/P59)</f>
        <v>0.26733086935561629</v>
      </c>
      <c r="X59" s="106"/>
    </row>
    <row r="60" spans="1:24" ht="15.75" hidden="1" outlineLevel="1" x14ac:dyDescent="0.3">
      <c r="A60" s="28"/>
      <c r="B60" s="14"/>
      <c r="C60" s="14"/>
      <c r="D60" s="63" t="s">
        <v>45</v>
      </c>
      <c r="E60" s="64"/>
      <c r="F60" s="121">
        <f>F59</f>
        <v>8.5</v>
      </c>
      <c r="G60" s="66">
        <f t="shared" si="38"/>
        <v>-8.5</v>
      </c>
      <c r="H60" s="84"/>
      <c r="I60" s="68"/>
      <c r="J60" s="76"/>
      <c r="K60" s="153"/>
      <c r="L60" s="153"/>
      <c r="M60" s="68"/>
      <c r="N60" s="68"/>
      <c r="O60" s="68"/>
      <c r="P60" s="85"/>
      <c r="Q60" s="155"/>
      <c r="R60" s="157"/>
      <c r="S60" s="157"/>
      <c r="T60" s="90"/>
      <c r="U60" s="138"/>
      <c r="V60" s="126"/>
      <c r="W60" s="158"/>
      <c r="X60" s="106"/>
    </row>
    <row r="61" spans="1:24" ht="15.75" hidden="1" outlineLevel="1" x14ac:dyDescent="0.3">
      <c r="A61" s="28" t="s">
        <v>109</v>
      </c>
      <c r="B61" s="14" t="s">
        <v>110</v>
      </c>
      <c r="C61" s="14"/>
      <c r="D61" s="14"/>
      <c r="E61" s="100"/>
      <c r="F61" s="101"/>
      <c r="G61" s="102"/>
      <c r="H61" s="84"/>
      <c r="I61" s="85"/>
      <c r="J61" s="86">
        <f t="shared" si="39"/>
        <v>0</v>
      </c>
      <c r="K61" s="154"/>
      <c r="L61" s="154"/>
      <c r="M61" s="85">
        <f>K61+L61</f>
        <v>0</v>
      </c>
      <c r="N61" s="85"/>
      <c r="O61" s="85"/>
      <c r="P61" s="85">
        <f>M61+N61+O61</f>
        <v>0</v>
      </c>
      <c r="Q61" s="166">
        <v>6166.48</v>
      </c>
      <c r="R61" s="167">
        <f>P61-Q61</f>
        <v>-6166.48</v>
      </c>
      <c r="S61" s="89">
        <f t="shared" si="40"/>
        <v>0</v>
      </c>
      <c r="T61" s="90" t="str">
        <f t="shared" si="41"/>
        <v>-</v>
      </c>
      <c r="U61" s="138">
        <f t="shared" si="42"/>
        <v>0</v>
      </c>
      <c r="V61" s="91">
        <f t="shared" si="43"/>
        <v>0</v>
      </c>
      <c r="W61" s="158" t="str">
        <f t="shared" ref="W61:W68" si="44">IF(ISERR(V61/P61),"-",V61/P61)</f>
        <v>-</v>
      </c>
      <c r="X61" s="106"/>
    </row>
    <row r="62" spans="1:24" ht="15.75" hidden="1" outlineLevel="1" x14ac:dyDescent="0.3">
      <c r="A62" s="28" t="s">
        <v>111</v>
      </c>
      <c r="B62" s="28" t="s">
        <v>112</v>
      </c>
      <c r="C62" s="14"/>
      <c r="D62" s="14"/>
      <c r="E62" s="120"/>
      <c r="F62" s="121"/>
      <c r="G62" s="122"/>
      <c r="H62" s="84">
        <v>55800</v>
      </c>
      <c r="I62" s="85">
        <v>55800</v>
      </c>
      <c r="J62" s="86">
        <f t="shared" si="39"/>
        <v>0</v>
      </c>
      <c r="K62" s="154"/>
      <c r="L62" s="154"/>
      <c r="M62" s="85">
        <f t="shared" ref="M62:M67" si="45">K62+L62</f>
        <v>0</v>
      </c>
      <c r="N62" s="85">
        <v>55800</v>
      </c>
      <c r="O62" s="85"/>
      <c r="P62" s="85">
        <f t="shared" ref="P62:P67" si="46">M62+N62+O62</f>
        <v>55800</v>
      </c>
      <c r="Q62" s="166"/>
      <c r="R62" s="167">
        <f>55800-Q62</f>
        <v>55800</v>
      </c>
      <c r="S62" s="89">
        <f>SUM(Q62:R62)</f>
        <v>55800</v>
      </c>
      <c r="T62" s="90">
        <f>IF(ISERR(Q62/S62),"-",Q62/S62)</f>
        <v>0</v>
      </c>
      <c r="U62" s="138">
        <f t="shared" si="42"/>
        <v>0</v>
      </c>
      <c r="V62" s="91">
        <f t="shared" si="43"/>
        <v>0</v>
      </c>
      <c r="W62" s="74">
        <f t="shared" si="44"/>
        <v>0</v>
      </c>
      <c r="X62" s="106"/>
    </row>
    <row r="63" spans="1:24" ht="15.75" hidden="1" outlineLevel="1" x14ac:dyDescent="0.3">
      <c r="A63" s="28" t="s">
        <v>113</v>
      </c>
      <c r="B63" s="28" t="s">
        <v>114</v>
      </c>
      <c r="C63" s="14"/>
      <c r="D63" s="14"/>
      <c r="E63" s="120"/>
      <c r="F63" s="121"/>
      <c r="G63" s="122"/>
      <c r="H63" s="84">
        <v>193400</v>
      </c>
      <c r="I63" s="85">
        <v>193400</v>
      </c>
      <c r="J63" s="86">
        <f t="shared" si="39"/>
        <v>0</v>
      </c>
      <c r="K63" s="154"/>
      <c r="L63" s="154"/>
      <c r="M63" s="85">
        <f t="shared" si="45"/>
        <v>0</v>
      </c>
      <c r="N63" s="85">
        <v>193400</v>
      </c>
      <c r="O63" s="85"/>
      <c r="P63" s="85">
        <f t="shared" si="46"/>
        <v>193400</v>
      </c>
      <c r="Q63" s="166">
        <v>6567.21</v>
      </c>
      <c r="R63" s="168"/>
      <c r="S63" s="89">
        <f>SUM(Q63:R63)</f>
        <v>6567.21</v>
      </c>
      <c r="T63" s="90">
        <f>IF(ISERR(Q63/S63),"-",Q63/S63)</f>
        <v>1</v>
      </c>
      <c r="U63" s="138">
        <f t="shared" si="42"/>
        <v>-186832.79</v>
      </c>
      <c r="V63" s="91">
        <f t="shared" si="43"/>
        <v>186832.79</v>
      </c>
      <c r="W63" s="74">
        <f t="shared" si="44"/>
        <v>0.96604338159255432</v>
      </c>
      <c r="X63" s="106"/>
    </row>
    <row r="64" spans="1:24" ht="15.75" hidden="1" outlineLevel="1" x14ac:dyDescent="0.3">
      <c r="A64" s="28" t="s">
        <v>115</v>
      </c>
      <c r="B64" s="28" t="s">
        <v>116</v>
      </c>
      <c r="C64" s="14"/>
      <c r="D64" s="14"/>
      <c r="E64" s="120"/>
      <c r="F64" s="121"/>
      <c r="G64" s="122"/>
      <c r="H64" s="84"/>
      <c r="I64" s="85"/>
      <c r="J64" s="86">
        <f t="shared" si="39"/>
        <v>0</v>
      </c>
      <c r="K64" s="154"/>
      <c r="L64" s="154"/>
      <c r="M64" s="85">
        <f t="shared" si="45"/>
        <v>0</v>
      </c>
      <c r="N64" s="85"/>
      <c r="O64" s="85"/>
      <c r="P64" s="85">
        <f t="shared" si="46"/>
        <v>0</v>
      </c>
      <c r="Q64" s="166">
        <v>141542.12</v>
      </c>
      <c r="R64" s="167">
        <f>P64-Q64</f>
        <v>-141542.12</v>
      </c>
      <c r="S64" s="89">
        <f>SUM(Q64:R64)</f>
        <v>0</v>
      </c>
      <c r="T64" s="90" t="str">
        <f>IF(ISERR(Q64/S64),"-",Q64/S64)</f>
        <v>-</v>
      </c>
      <c r="U64" s="138">
        <f t="shared" si="42"/>
        <v>0</v>
      </c>
      <c r="V64" s="91">
        <f t="shared" si="43"/>
        <v>0</v>
      </c>
      <c r="W64" s="74" t="str">
        <f t="shared" si="44"/>
        <v>-</v>
      </c>
      <c r="X64" s="106"/>
    </row>
    <row r="65" spans="1:24" ht="15.75" hidden="1" outlineLevel="1" x14ac:dyDescent="0.3">
      <c r="A65" s="28" t="s">
        <v>117</v>
      </c>
      <c r="B65" s="28" t="s">
        <v>118</v>
      </c>
      <c r="C65" s="14"/>
      <c r="D65" s="14"/>
      <c r="E65" s="120"/>
      <c r="F65" s="121"/>
      <c r="G65" s="66"/>
      <c r="H65" s="84">
        <v>450000</v>
      </c>
      <c r="I65" s="85">
        <v>450000</v>
      </c>
      <c r="J65" s="86">
        <f t="shared" si="39"/>
        <v>0</v>
      </c>
      <c r="K65" s="154"/>
      <c r="L65" s="154"/>
      <c r="M65" s="85">
        <f t="shared" si="45"/>
        <v>0</v>
      </c>
      <c r="N65" s="85">
        <v>450000</v>
      </c>
      <c r="O65" s="85"/>
      <c r="P65" s="85">
        <f t="shared" si="46"/>
        <v>450000</v>
      </c>
      <c r="Q65" s="105">
        <v>14351.41</v>
      </c>
      <c r="R65" s="104">
        <f>P65-Q65-100000</f>
        <v>335648.59</v>
      </c>
      <c r="S65" s="89">
        <f t="shared" si="40"/>
        <v>350000</v>
      </c>
      <c r="T65" s="90">
        <f t="shared" si="41"/>
        <v>4.1004028571428569E-2</v>
      </c>
      <c r="U65" s="138">
        <f t="shared" si="42"/>
        <v>-100000</v>
      </c>
      <c r="V65" s="91">
        <f t="shared" si="43"/>
        <v>100000</v>
      </c>
      <c r="W65" s="158">
        <f t="shared" si="44"/>
        <v>0.22222222222222221</v>
      </c>
      <c r="X65" s="106"/>
    </row>
    <row r="66" spans="1:24" ht="15.75" hidden="1" outlineLevel="1" x14ac:dyDescent="0.3">
      <c r="A66" s="28" t="s">
        <v>119</v>
      </c>
      <c r="B66" s="28" t="s">
        <v>120</v>
      </c>
      <c r="C66" s="14"/>
      <c r="D66" s="14"/>
      <c r="E66" s="120"/>
      <c r="F66" s="121"/>
      <c r="G66" s="66"/>
      <c r="H66" s="84"/>
      <c r="I66" s="85">
        <v>95000</v>
      </c>
      <c r="J66" s="86">
        <f t="shared" si="39"/>
        <v>95000</v>
      </c>
      <c r="K66" s="154"/>
      <c r="L66" s="154"/>
      <c r="M66" s="85">
        <f t="shared" si="45"/>
        <v>0</v>
      </c>
      <c r="N66" s="85"/>
      <c r="O66" s="85">
        <v>95000</v>
      </c>
      <c r="P66" s="85">
        <f t="shared" si="46"/>
        <v>95000</v>
      </c>
      <c r="Q66" s="105">
        <f>626.57+2652.23+26919.56+99.42+17923.23+569.96+205.94+4720.43+6405.33+283847.43</f>
        <v>343970.1</v>
      </c>
      <c r="R66" s="104">
        <f>P66-Q66</f>
        <v>-248970.09999999998</v>
      </c>
      <c r="S66" s="89">
        <f t="shared" ref="S66" si="47">SUM(Q66:R66)</f>
        <v>95000</v>
      </c>
      <c r="T66" s="90">
        <f t="shared" si="41"/>
        <v>3.620737894736842</v>
      </c>
      <c r="U66" s="138">
        <f t="shared" si="42"/>
        <v>0</v>
      </c>
      <c r="V66" s="91">
        <f t="shared" si="43"/>
        <v>0</v>
      </c>
      <c r="W66" s="158">
        <f t="shared" si="44"/>
        <v>0</v>
      </c>
      <c r="X66" s="106"/>
    </row>
    <row r="67" spans="1:24" ht="15.75" hidden="1" outlineLevel="1" x14ac:dyDescent="0.3">
      <c r="A67" s="28" t="s">
        <v>121</v>
      </c>
      <c r="B67" s="14" t="s">
        <v>122</v>
      </c>
      <c r="C67" s="14"/>
      <c r="D67" s="14"/>
      <c r="E67" s="164"/>
      <c r="F67" s="121"/>
      <c r="G67" s="66"/>
      <c r="H67" s="84">
        <v>233900</v>
      </c>
      <c r="I67" s="85">
        <v>233900</v>
      </c>
      <c r="J67" s="86">
        <f t="shared" si="39"/>
        <v>0</v>
      </c>
      <c r="K67" s="169"/>
      <c r="L67" s="104"/>
      <c r="M67" s="85">
        <f t="shared" si="45"/>
        <v>0</v>
      </c>
      <c r="N67" s="85">
        <v>233900</v>
      </c>
      <c r="O67" s="85"/>
      <c r="P67" s="85">
        <f t="shared" si="46"/>
        <v>233900</v>
      </c>
      <c r="Q67" s="170"/>
      <c r="R67" s="169">
        <v>0</v>
      </c>
      <c r="S67" s="89">
        <f>SUM(Q67:R67)</f>
        <v>0</v>
      </c>
      <c r="T67" s="90" t="str">
        <f>IF(ISERR(Q67/S67),"-",Q67/S67)</f>
        <v>-</v>
      </c>
      <c r="U67" s="138">
        <f t="shared" si="42"/>
        <v>-233900</v>
      </c>
      <c r="V67" s="91">
        <f t="shared" si="43"/>
        <v>233900</v>
      </c>
      <c r="W67" s="74">
        <f t="shared" si="44"/>
        <v>1</v>
      </c>
      <c r="X67" s="106"/>
    </row>
    <row r="68" spans="1:24" ht="15.75" collapsed="1" x14ac:dyDescent="0.3">
      <c r="A68" s="1" t="s">
        <v>123</v>
      </c>
      <c r="B68" s="14"/>
      <c r="C68" s="14"/>
      <c r="D68" s="14"/>
      <c r="E68" s="145">
        <f>E60</f>
        <v>0</v>
      </c>
      <c r="F68" s="109">
        <f t="shared" ref="F68:G68" si="48">F60</f>
        <v>8.5</v>
      </c>
      <c r="G68" s="110">
        <f t="shared" si="48"/>
        <v>-8.5</v>
      </c>
      <c r="H68" s="113">
        <f>SUM(H59:H67)</f>
        <v>1555400</v>
      </c>
      <c r="I68" s="113">
        <f t="shared" ref="I68:S68" si="49">SUM(I59:I67)</f>
        <v>1650400</v>
      </c>
      <c r="J68" s="146">
        <f t="shared" si="49"/>
        <v>95000</v>
      </c>
      <c r="K68" s="113">
        <f t="shared" si="49"/>
        <v>0</v>
      </c>
      <c r="L68" s="113">
        <f t="shared" si="49"/>
        <v>0</v>
      </c>
      <c r="M68" s="113">
        <f t="shared" si="49"/>
        <v>0</v>
      </c>
      <c r="N68" s="113">
        <f t="shared" si="49"/>
        <v>1555400</v>
      </c>
      <c r="O68" s="113">
        <f t="shared" si="49"/>
        <v>95000</v>
      </c>
      <c r="P68" s="113">
        <f t="shared" si="49"/>
        <v>1650400</v>
      </c>
      <c r="Q68" s="115">
        <f t="shared" si="49"/>
        <v>627990.93999999994</v>
      </c>
      <c r="R68" s="113">
        <f t="shared" si="49"/>
        <v>335316.27000000014</v>
      </c>
      <c r="S68" s="113">
        <f t="shared" si="49"/>
        <v>963307.21</v>
      </c>
      <c r="T68" s="116">
        <f>IF(ISERR(Q68/S68),"-",Q68/S68)</f>
        <v>0.65191138764548429</v>
      </c>
      <c r="U68" s="147">
        <f>SUM(U59:U67)</f>
        <v>-687092.79</v>
      </c>
      <c r="V68" s="117">
        <f>SUM(V59:V67)</f>
        <v>687092.79</v>
      </c>
      <c r="W68" s="118">
        <f t="shared" si="44"/>
        <v>0.41631894692195831</v>
      </c>
      <c r="X68" s="119"/>
    </row>
    <row r="69" spans="1:24" ht="15.75" x14ac:dyDescent="0.3">
      <c r="A69" s="1"/>
      <c r="B69" s="14"/>
      <c r="C69" s="14"/>
      <c r="D69" s="14"/>
      <c r="E69" s="120"/>
      <c r="F69" s="121"/>
      <c r="G69" s="122"/>
      <c r="H69" s="120"/>
      <c r="I69" s="123"/>
      <c r="J69" s="123"/>
      <c r="K69" s="123"/>
      <c r="L69" s="123"/>
      <c r="M69" s="123"/>
      <c r="N69" s="123"/>
      <c r="O69" s="123"/>
      <c r="P69" s="123"/>
      <c r="Q69" s="124"/>
      <c r="R69" s="123"/>
      <c r="S69" s="123"/>
      <c r="T69" s="123"/>
      <c r="U69" s="171"/>
      <c r="V69" s="126"/>
      <c r="W69" s="127"/>
      <c r="X69" s="128"/>
    </row>
    <row r="70" spans="1:24" ht="15.75" x14ac:dyDescent="0.3">
      <c r="A70" s="1"/>
      <c r="B70" s="14"/>
      <c r="C70" s="14"/>
      <c r="D70" s="14"/>
      <c r="E70" s="120"/>
      <c r="F70" s="121"/>
      <c r="G70" s="122"/>
      <c r="H70" s="120"/>
      <c r="I70" s="123"/>
      <c r="J70" s="123"/>
      <c r="K70" s="123"/>
      <c r="L70" s="123"/>
      <c r="M70" s="123"/>
      <c r="N70" s="123"/>
      <c r="O70" s="123"/>
      <c r="P70" s="123"/>
      <c r="Q70" s="124"/>
      <c r="R70" s="123"/>
      <c r="S70" s="123"/>
      <c r="T70" s="123"/>
      <c r="U70" s="171"/>
      <c r="V70" s="126"/>
      <c r="W70" s="127"/>
      <c r="X70" s="128"/>
    </row>
    <row r="71" spans="1:24" ht="15.75" hidden="1" outlineLevel="1" x14ac:dyDescent="0.3">
      <c r="A71" s="59" t="s">
        <v>124</v>
      </c>
      <c r="B71" s="6"/>
      <c r="C71" s="14"/>
      <c r="D71" s="14"/>
      <c r="E71" s="120"/>
      <c r="F71" s="121"/>
      <c r="G71" s="122"/>
      <c r="H71" s="120"/>
      <c r="I71" s="104"/>
      <c r="J71" s="104"/>
      <c r="K71" s="104"/>
      <c r="L71" s="104"/>
      <c r="M71" s="104"/>
      <c r="N71" s="104"/>
      <c r="O71" s="104"/>
      <c r="P71" s="104"/>
      <c r="Q71" s="105"/>
      <c r="R71" s="104"/>
      <c r="S71" s="104"/>
      <c r="T71" s="104"/>
      <c r="U71" s="150"/>
      <c r="V71" s="149"/>
      <c r="W71" s="127"/>
      <c r="X71" s="128"/>
    </row>
    <row r="72" spans="1:24" ht="15.75" hidden="1" outlineLevel="1" x14ac:dyDescent="0.3">
      <c r="A72" s="28" t="s">
        <v>125</v>
      </c>
      <c r="B72" s="14" t="s">
        <v>126</v>
      </c>
      <c r="C72" s="14"/>
      <c r="D72" s="63"/>
      <c r="E72" s="64"/>
      <c r="F72" s="101">
        <v>0</v>
      </c>
      <c r="G72" s="66"/>
      <c r="H72" s="151"/>
      <c r="I72" s="68"/>
      <c r="J72" s="76">
        <f>I72-H72</f>
        <v>0</v>
      </c>
      <c r="K72" s="153"/>
      <c r="L72" s="153"/>
      <c r="M72" s="68">
        <f>K72+L72</f>
        <v>0</v>
      </c>
      <c r="N72" s="68"/>
      <c r="O72" s="68"/>
      <c r="P72" s="68">
        <f>M72+N72+O72</f>
        <v>0</v>
      </c>
      <c r="Q72" s="155">
        <v>319152.12</v>
      </c>
      <c r="R72" s="167">
        <f>P72-Q72</f>
        <v>-319152.12</v>
      </c>
      <c r="S72" s="157">
        <f>SUM(Q72:R72)</f>
        <v>0</v>
      </c>
      <c r="T72" s="90" t="str">
        <f>IF(ISERR(Q72/S72),"-",Q72/S72)</f>
        <v>-</v>
      </c>
      <c r="U72" s="138">
        <f>S72-I72</f>
        <v>0</v>
      </c>
      <c r="V72" s="126">
        <f t="shared" ref="V72:V74" si="50">P72-S72</f>
        <v>0</v>
      </c>
      <c r="W72" s="158" t="str">
        <f>IF(ISERR(V72/P72),"-",V72/P72)</f>
        <v>-</v>
      </c>
      <c r="X72" s="106" t="s">
        <v>127</v>
      </c>
    </row>
    <row r="73" spans="1:24" ht="15.75" hidden="1" outlineLevel="1" x14ac:dyDescent="0.3">
      <c r="A73" s="28" t="s">
        <v>128</v>
      </c>
      <c r="B73" s="14" t="s">
        <v>64</v>
      </c>
      <c r="C73" s="14"/>
      <c r="D73" s="14"/>
      <c r="E73" s="120"/>
      <c r="F73" s="121"/>
      <c r="G73" s="122"/>
      <c r="H73" s="172">
        <v>509600</v>
      </c>
      <c r="I73" s="85">
        <v>509600</v>
      </c>
      <c r="J73" s="86">
        <f>I73-H73</f>
        <v>0</v>
      </c>
      <c r="K73" s="154"/>
      <c r="L73" s="154"/>
      <c r="M73" s="77">
        <f>K73+L73</f>
        <v>0</v>
      </c>
      <c r="N73" s="77">
        <v>509600</v>
      </c>
      <c r="O73" s="77"/>
      <c r="P73" s="77">
        <f>M73+N73+O73</f>
        <v>509600</v>
      </c>
      <c r="Q73" s="166">
        <v>14615.83</v>
      </c>
      <c r="R73" s="167">
        <f>P73-Q73-100000</f>
        <v>394984.17</v>
      </c>
      <c r="S73" s="89">
        <f>SUM(Q73:R73)</f>
        <v>409600</v>
      </c>
      <c r="T73" s="90">
        <f>IF(ISERR(Q73/S73),"-",Q73/S73)</f>
        <v>3.5683178710937499E-2</v>
      </c>
      <c r="U73" s="138">
        <f>S73-I73</f>
        <v>-100000</v>
      </c>
      <c r="V73" s="91">
        <f t="shared" si="50"/>
        <v>100000</v>
      </c>
      <c r="W73" s="158">
        <f>IF(ISERR(V73/P73),"-",V73/P73)</f>
        <v>0.19623233908948196</v>
      </c>
      <c r="X73" s="106"/>
    </row>
    <row r="74" spans="1:24" ht="15.75" hidden="1" outlineLevel="1" x14ac:dyDescent="0.3">
      <c r="A74" s="28" t="s">
        <v>129</v>
      </c>
      <c r="B74" s="14" t="s">
        <v>130</v>
      </c>
      <c r="C74" s="14"/>
      <c r="D74" s="14"/>
      <c r="E74" s="120"/>
      <c r="F74" s="121"/>
      <c r="G74" s="122"/>
      <c r="H74" s="172"/>
      <c r="I74" s="85"/>
      <c r="J74" s="86">
        <f>I74-H74</f>
        <v>0</v>
      </c>
      <c r="K74" s="154"/>
      <c r="L74" s="154"/>
      <c r="M74" s="77">
        <f>K74+L74</f>
        <v>0</v>
      </c>
      <c r="N74" s="77"/>
      <c r="O74" s="77"/>
      <c r="P74" s="77">
        <f>M74+N74+O74</f>
        <v>0</v>
      </c>
      <c r="Q74" s="166">
        <v>22480.03</v>
      </c>
      <c r="R74" s="167">
        <f>P74-Q74</f>
        <v>-22480.03</v>
      </c>
      <c r="S74" s="89">
        <f>SUM(Q74:R74)</f>
        <v>0</v>
      </c>
      <c r="T74" s="90" t="str">
        <f>IF(ISERR(Q74/S74),"-",Q74/S74)</f>
        <v>-</v>
      </c>
      <c r="U74" s="138">
        <f>S74-I74</f>
        <v>0</v>
      </c>
      <c r="V74" s="91">
        <f t="shared" si="50"/>
        <v>0</v>
      </c>
      <c r="W74" s="158" t="str">
        <f>IF(ISERR(V74/P74),"-",V74/P74)</f>
        <v>-</v>
      </c>
      <c r="X74" s="106" t="s">
        <v>127</v>
      </c>
    </row>
    <row r="75" spans="1:24" ht="15.75" collapsed="1" x14ac:dyDescent="0.3">
      <c r="A75" s="1" t="s">
        <v>131</v>
      </c>
      <c r="B75" s="14"/>
      <c r="C75" s="14"/>
      <c r="D75" s="14"/>
      <c r="E75" s="145">
        <f t="shared" ref="E75:G75" si="51">SUM(E72:E74)</f>
        <v>0</v>
      </c>
      <c r="F75" s="109">
        <f t="shared" si="51"/>
        <v>0</v>
      </c>
      <c r="G75" s="110">
        <f t="shared" si="51"/>
        <v>0</v>
      </c>
      <c r="H75" s="113">
        <f>SUM(H72:H74)</f>
        <v>509600</v>
      </c>
      <c r="I75" s="113">
        <f t="shared" ref="I75:S75" si="52">SUM(I72:I74)</f>
        <v>509600</v>
      </c>
      <c r="J75" s="146">
        <f t="shared" si="52"/>
        <v>0</v>
      </c>
      <c r="K75" s="113">
        <f t="shared" si="52"/>
        <v>0</v>
      </c>
      <c r="L75" s="113">
        <f t="shared" si="52"/>
        <v>0</v>
      </c>
      <c r="M75" s="113">
        <f t="shared" si="52"/>
        <v>0</v>
      </c>
      <c r="N75" s="113">
        <f t="shared" si="52"/>
        <v>509600</v>
      </c>
      <c r="O75" s="113">
        <f t="shared" si="52"/>
        <v>0</v>
      </c>
      <c r="P75" s="113">
        <f t="shared" si="52"/>
        <v>509600</v>
      </c>
      <c r="Q75" s="115">
        <f t="shared" si="52"/>
        <v>356247.98</v>
      </c>
      <c r="R75" s="173">
        <f t="shared" si="52"/>
        <v>53352.01999999999</v>
      </c>
      <c r="S75" s="113">
        <f t="shared" si="52"/>
        <v>409600</v>
      </c>
      <c r="T75" s="116">
        <f>IF(ISERR(Q75/S75),"-",Q75/S75)</f>
        <v>0.86974604492187491</v>
      </c>
      <c r="U75" s="147">
        <f>SUM(U72:U74)</f>
        <v>-100000</v>
      </c>
      <c r="V75" s="117">
        <f>SUM(V72:V74)</f>
        <v>100000</v>
      </c>
      <c r="W75" s="118">
        <f>IF(ISERR(V75/P75),"-",V75/P75)</f>
        <v>0.19623233908948196</v>
      </c>
      <c r="X75" s="119"/>
    </row>
    <row r="76" spans="1:24" ht="15.75" x14ac:dyDescent="0.3">
      <c r="A76" s="1"/>
      <c r="B76" s="14"/>
      <c r="C76" s="14"/>
      <c r="D76" s="14"/>
      <c r="E76" s="120"/>
      <c r="F76" s="121"/>
      <c r="G76" s="122"/>
      <c r="H76" s="120"/>
      <c r="I76" s="104"/>
      <c r="J76" s="104"/>
      <c r="K76" s="104"/>
      <c r="L76" s="104"/>
      <c r="M76" s="104"/>
      <c r="N76" s="104"/>
      <c r="O76" s="104"/>
      <c r="P76" s="104"/>
      <c r="Q76" s="105"/>
      <c r="R76" s="104"/>
      <c r="S76" s="104"/>
      <c r="T76" s="104"/>
      <c r="U76" s="150"/>
      <c r="V76" s="149"/>
      <c r="W76" s="127"/>
      <c r="X76" s="128"/>
    </row>
    <row r="77" spans="1:24" ht="15.75" x14ac:dyDescent="0.3">
      <c r="A77" s="6"/>
      <c r="B77" s="6"/>
      <c r="C77" s="14"/>
      <c r="D77" s="14"/>
      <c r="E77" s="120"/>
      <c r="F77" s="121"/>
      <c r="G77" s="122"/>
      <c r="H77" s="120"/>
      <c r="I77" s="14"/>
      <c r="J77" s="14"/>
      <c r="K77" s="14"/>
      <c r="L77" s="14"/>
      <c r="M77" s="14"/>
      <c r="N77" s="14"/>
      <c r="O77" s="14"/>
      <c r="P77" s="14"/>
      <c r="Q77" s="55"/>
      <c r="R77" s="14"/>
      <c r="S77" s="14"/>
      <c r="T77" s="14"/>
      <c r="U77" s="61"/>
      <c r="V77" s="134"/>
      <c r="W77" s="135"/>
      <c r="X77" s="106"/>
    </row>
    <row r="78" spans="1:24" ht="15.75" hidden="1" outlineLevel="1" x14ac:dyDescent="0.3">
      <c r="A78" s="59" t="s">
        <v>132</v>
      </c>
      <c r="B78" s="6"/>
      <c r="C78" s="14"/>
      <c r="D78" s="14"/>
      <c r="E78" s="120"/>
      <c r="F78" s="121"/>
      <c r="G78" s="122"/>
      <c r="H78" s="120"/>
      <c r="I78" s="14"/>
      <c r="J78" s="14"/>
      <c r="K78" s="14"/>
      <c r="L78" s="14"/>
      <c r="M78" s="14"/>
      <c r="N78" s="14"/>
      <c r="O78" s="14"/>
      <c r="P78" s="14"/>
      <c r="Q78" s="55"/>
      <c r="R78" s="14"/>
      <c r="S78" s="14"/>
      <c r="T78" s="14"/>
      <c r="U78" s="61"/>
      <c r="V78" s="134"/>
      <c r="W78" s="135"/>
      <c r="X78" s="106"/>
    </row>
    <row r="79" spans="1:24" hidden="1" outlineLevel="1" x14ac:dyDescent="0.25">
      <c r="A79" s="62" t="s">
        <v>133</v>
      </c>
      <c r="B79" s="62" t="s">
        <v>134</v>
      </c>
      <c r="C79" s="93"/>
      <c r="D79" s="63" t="s">
        <v>44</v>
      </c>
      <c r="E79" s="64"/>
      <c r="F79" s="95">
        <f>181.85+5+1</f>
        <v>187.85</v>
      </c>
      <c r="G79" s="66">
        <f t="shared" ref="G79:G80" si="53">E79-F79</f>
        <v>-187.85</v>
      </c>
      <c r="H79" s="151">
        <f>9364200+2160600</f>
        <v>11524800</v>
      </c>
      <c r="I79" s="68">
        <v>11524800</v>
      </c>
      <c r="J79" s="76">
        <f>I79-H79</f>
        <v>0</v>
      </c>
      <c r="K79" s="174"/>
      <c r="L79" s="174"/>
      <c r="M79" s="68">
        <f>K79+L79</f>
        <v>0</v>
      </c>
      <c r="N79" s="68">
        <v>11524800</v>
      </c>
      <c r="O79" s="68"/>
      <c r="P79" s="68">
        <f>M79+N79+O79</f>
        <v>11524800</v>
      </c>
      <c r="Q79" s="175">
        <v>1893591.37</v>
      </c>
      <c r="R79" s="176">
        <f>10856000-Q79</f>
        <v>8962408.629999999</v>
      </c>
      <c r="S79" s="177">
        <f>SUM(Q79:R79)</f>
        <v>10856000</v>
      </c>
      <c r="T79" s="72">
        <f t="shared" ref="T79:T103" si="54">IF(ISERR(Q79/S79),"-",Q79/S79)</f>
        <v>0.1744280922991894</v>
      </c>
      <c r="U79" s="138">
        <f t="shared" ref="U79:U103" si="55">S79-I79</f>
        <v>-668800</v>
      </c>
      <c r="V79" s="178">
        <f t="shared" ref="V79:V103" si="56">P79-S79</f>
        <v>668800</v>
      </c>
      <c r="W79" s="74">
        <f>IF(ISERR(V79/P79),"-",V79/P79)</f>
        <v>5.8031375815632377E-2</v>
      </c>
      <c r="X79" s="98"/>
    </row>
    <row r="80" spans="1:24" hidden="1" outlineLevel="1" x14ac:dyDescent="0.25">
      <c r="A80" s="62"/>
      <c r="B80" s="62"/>
      <c r="C80" s="93"/>
      <c r="D80" s="63" t="s">
        <v>45</v>
      </c>
      <c r="E80" s="64"/>
      <c r="F80" s="95">
        <f>F79+0.06</f>
        <v>187.91</v>
      </c>
      <c r="G80" s="66">
        <f t="shared" si="53"/>
        <v>-187.91</v>
      </c>
      <c r="H80" s="151"/>
      <c r="I80" s="68"/>
      <c r="J80" s="76"/>
      <c r="K80" s="174"/>
      <c r="L80" s="174"/>
      <c r="M80" s="68"/>
      <c r="N80" s="68"/>
      <c r="O80" s="68"/>
      <c r="P80" s="77"/>
      <c r="Q80" s="175"/>
      <c r="R80" s="176"/>
      <c r="S80" s="177"/>
      <c r="T80" s="72"/>
      <c r="U80" s="138"/>
      <c r="V80" s="178"/>
      <c r="W80" s="74"/>
      <c r="X80" s="98"/>
    </row>
    <row r="81" spans="1:24" ht="15.75" hidden="1" outlineLevel="1" x14ac:dyDescent="0.3">
      <c r="A81" s="62" t="s">
        <v>135</v>
      </c>
      <c r="B81" s="62" t="s">
        <v>136</v>
      </c>
      <c r="C81" s="93"/>
      <c r="D81" s="63"/>
      <c r="E81" s="94"/>
      <c r="F81" s="95"/>
      <c r="G81" s="179"/>
      <c r="H81" s="84">
        <v>9600</v>
      </c>
      <c r="I81" s="85">
        <v>9600</v>
      </c>
      <c r="J81" s="86">
        <f>I81-H81</f>
        <v>0</v>
      </c>
      <c r="K81" s="174"/>
      <c r="L81" s="174"/>
      <c r="M81" s="77">
        <f>K81+L81</f>
        <v>0</v>
      </c>
      <c r="N81" s="77">
        <v>9600</v>
      </c>
      <c r="O81" s="77"/>
      <c r="P81" s="77">
        <f>M81+N81+O81</f>
        <v>9600</v>
      </c>
      <c r="Q81" s="55">
        <v>24283.5</v>
      </c>
      <c r="R81" s="176">
        <f>140000-Q81</f>
        <v>115716.5</v>
      </c>
      <c r="S81" s="85">
        <f>SUM(Q81:R81)</f>
        <v>140000</v>
      </c>
      <c r="T81" s="72">
        <f t="shared" ref="T81:T84" si="57">IF(ISERR(Q81/S81),"-",Q81/S81)</f>
        <v>0.17345357142857143</v>
      </c>
      <c r="U81" s="138">
        <f t="shared" si="55"/>
        <v>130400</v>
      </c>
      <c r="V81" s="139">
        <f t="shared" si="56"/>
        <v>-130400</v>
      </c>
      <c r="W81" s="74">
        <f>IF(ISERR(V81/P81),"-",V81/P81)</f>
        <v>-13.583333333333334</v>
      </c>
      <c r="X81" s="98"/>
    </row>
    <row r="82" spans="1:24" ht="15.75" hidden="1" outlineLevel="1" x14ac:dyDescent="0.3">
      <c r="A82" s="62" t="s">
        <v>137</v>
      </c>
      <c r="B82" s="62" t="s">
        <v>138</v>
      </c>
      <c r="C82" s="93"/>
      <c r="D82" s="63"/>
      <c r="E82" s="94"/>
      <c r="F82" s="95"/>
      <c r="G82" s="179"/>
      <c r="H82" s="84">
        <v>52700</v>
      </c>
      <c r="I82" s="85">
        <v>52700</v>
      </c>
      <c r="J82" s="86">
        <f>I82-H82</f>
        <v>0</v>
      </c>
      <c r="K82" s="174"/>
      <c r="L82" s="174"/>
      <c r="M82" s="77">
        <f>K82+L82</f>
        <v>0</v>
      </c>
      <c r="N82" s="77">
        <v>52700</v>
      </c>
      <c r="O82" s="77"/>
      <c r="P82" s="77">
        <f>M82+N82+O82</f>
        <v>52700</v>
      </c>
      <c r="Q82" s="55">
        <v>1365.83</v>
      </c>
      <c r="R82" s="176">
        <f>55000-Q82</f>
        <v>53634.17</v>
      </c>
      <c r="S82" s="85">
        <f>SUM(Q82:R82)</f>
        <v>55000</v>
      </c>
      <c r="T82" s="72">
        <f t="shared" si="57"/>
        <v>2.4833272727272725E-2</v>
      </c>
      <c r="U82" s="138">
        <f t="shared" si="55"/>
        <v>2300</v>
      </c>
      <c r="V82" s="139">
        <f t="shared" si="56"/>
        <v>-2300</v>
      </c>
      <c r="W82" s="74">
        <f>IF(ISERR(V82/P82),"-",V82/P82)</f>
        <v>-4.3643263757115747E-2</v>
      </c>
      <c r="X82" s="98"/>
    </row>
    <row r="83" spans="1:24" ht="15.75" hidden="1" outlineLevel="1" x14ac:dyDescent="0.3">
      <c r="A83" s="62" t="s">
        <v>139</v>
      </c>
      <c r="B83" s="62" t="s">
        <v>140</v>
      </c>
      <c r="C83" s="93"/>
      <c r="D83" s="63"/>
      <c r="E83" s="94"/>
      <c r="F83" s="95"/>
      <c r="G83" s="179"/>
      <c r="H83" s="84"/>
      <c r="I83" s="85"/>
      <c r="J83" s="86">
        <f t="shared" ref="J83:J103" si="58">I83-H83</f>
        <v>0</v>
      </c>
      <c r="K83" s="174"/>
      <c r="L83" s="174"/>
      <c r="M83" s="77">
        <f t="shared" ref="M83:M103" si="59">K83+L83</f>
        <v>0</v>
      </c>
      <c r="N83" s="77"/>
      <c r="O83" s="77"/>
      <c r="P83" s="77">
        <f t="shared" ref="P83:P103" si="60">M83+N83+O83</f>
        <v>0</v>
      </c>
      <c r="Q83" s="55">
        <v>53213.13</v>
      </c>
      <c r="R83" s="176">
        <f>300000-Q83</f>
        <v>246786.87</v>
      </c>
      <c r="S83" s="85">
        <f t="shared" ref="S83:S84" si="61">SUM(Q83:R83)</f>
        <v>300000</v>
      </c>
      <c r="T83" s="72">
        <f t="shared" si="57"/>
        <v>0.17737709999999998</v>
      </c>
      <c r="U83" s="138">
        <f t="shared" si="55"/>
        <v>300000</v>
      </c>
      <c r="V83" s="139">
        <f t="shared" si="56"/>
        <v>-300000</v>
      </c>
      <c r="W83" s="74" t="str">
        <f>IF(ISERR(V83/P83),"-",V83/P83)</f>
        <v>-</v>
      </c>
      <c r="X83" s="98"/>
    </row>
    <row r="84" spans="1:24" hidden="1" outlineLevel="1" x14ac:dyDescent="0.25">
      <c r="A84" s="62" t="s">
        <v>141</v>
      </c>
      <c r="B84" s="62" t="s">
        <v>142</v>
      </c>
      <c r="C84" s="93"/>
      <c r="D84" s="93"/>
      <c r="E84" s="94"/>
      <c r="F84" s="95"/>
      <c r="G84" s="96"/>
      <c r="H84" s="84">
        <f>380800+89400</f>
        <v>470200</v>
      </c>
      <c r="I84" s="85">
        <v>470200</v>
      </c>
      <c r="J84" s="86">
        <f t="shared" si="58"/>
        <v>0</v>
      </c>
      <c r="K84" s="180"/>
      <c r="L84" s="180"/>
      <c r="M84" s="77">
        <f t="shared" si="59"/>
        <v>0</v>
      </c>
      <c r="N84" s="77">
        <v>470200</v>
      </c>
      <c r="O84" s="77"/>
      <c r="P84" s="77">
        <f t="shared" si="60"/>
        <v>470200</v>
      </c>
      <c r="Q84" s="181">
        <v>199351.34</v>
      </c>
      <c r="R84" s="182">
        <f>1120000-Q84</f>
        <v>920648.66</v>
      </c>
      <c r="S84" s="85">
        <f t="shared" si="61"/>
        <v>1120000</v>
      </c>
      <c r="T84" s="72">
        <f t="shared" si="57"/>
        <v>0.17799226785714287</v>
      </c>
      <c r="U84" s="138">
        <f t="shared" si="55"/>
        <v>649800</v>
      </c>
      <c r="V84" s="139">
        <f t="shared" si="56"/>
        <v>-649800</v>
      </c>
      <c r="W84" s="74">
        <f>IF(ISERR(V84/P84),"-",V84/P84)</f>
        <v>-1.3819651212250106</v>
      </c>
      <c r="X84" s="98"/>
    </row>
    <row r="85" spans="1:24" hidden="1" outlineLevel="1" x14ac:dyDescent="0.25">
      <c r="A85" s="62" t="s">
        <v>143</v>
      </c>
      <c r="B85" s="62" t="s">
        <v>144</v>
      </c>
      <c r="C85" s="93"/>
      <c r="D85" s="93"/>
      <c r="E85" s="94"/>
      <c r="F85" s="95"/>
      <c r="G85" s="96"/>
      <c r="H85" s="84">
        <v>8300900</v>
      </c>
      <c r="I85" s="85">
        <v>8300900</v>
      </c>
      <c r="J85" s="86">
        <f t="shared" si="58"/>
        <v>0</v>
      </c>
      <c r="K85" s="180"/>
      <c r="L85" s="180"/>
      <c r="M85" s="77">
        <f t="shared" si="59"/>
        <v>0</v>
      </c>
      <c r="N85" s="77">
        <v>8300900</v>
      </c>
      <c r="O85" s="77"/>
      <c r="P85" s="77">
        <f t="shared" si="60"/>
        <v>8300900</v>
      </c>
      <c r="Q85" s="181">
        <v>688978.91</v>
      </c>
      <c r="R85" s="182">
        <f>6594082-Q85+403801</f>
        <v>6308904.0899999999</v>
      </c>
      <c r="S85" s="85">
        <f t="shared" ref="S85:S102" si="62">SUM(Q85:R85)</f>
        <v>6997883</v>
      </c>
      <c r="T85" s="72">
        <f t="shared" si="54"/>
        <v>9.8455334277523648E-2</v>
      </c>
      <c r="U85" s="138">
        <f t="shared" si="55"/>
        <v>-1303017</v>
      </c>
      <c r="V85" s="139">
        <f t="shared" si="56"/>
        <v>1303017</v>
      </c>
      <c r="W85" s="74">
        <f t="shared" ref="W85:W104" si="63">IF(ISERR(V85/P85),"-",V85/P85)</f>
        <v>0.15697297883362046</v>
      </c>
      <c r="X85" s="98"/>
    </row>
    <row r="86" spans="1:24" ht="15.75" hidden="1" outlineLevel="1" x14ac:dyDescent="0.3">
      <c r="A86" s="28" t="s">
        <v>145</v>
      </c>
      <c r="B86" s="28" t="s">
        <v>146</v>
      </c>
      <c r="C86" s="14"/>
      <c r="D86" s="14"/>
      <c r="E86" s="120"/>
      <c r="F86" s="121"/>
      <c r="G86" s="122"/>
      <c r="H86" s="84">
        <v>681100</v>
      </c>
      <c r="I86" s="85">
        <v>681100</v>
      </c>
      <c r="J86" s="86">
        <f t="shared" si="58"/>
        <v>0</v>
      </c>
      <c r="K86" s="154"/>
      <c r="L86" s="154"/>
      <c r="M86" s="77">
        <f t="shared" si="59"/>
        <v>0</v>
      </c>
      <c r="N86" s="77">
        <v>681100</v>
      </c>
      <c r="O86" s="77"/>
      <c r="P86" s="77">
        <f t="shared" si="60"/>
        <v>681100</v>
      </c>
      <c r="Q86" s="166">
        <v>114277.99</v>
      </c>
      <c r="R86" s="168">
        <f>663213-Q86</f>
        <v>548935.01</v>
      </c>
      <c r="S86" s="89">
        <f t="shared" si="62"/>
        <v>663213</v>
      </c>
      <c r="T86" s="90">
        <f t="shared" si="54"/>
        <v>0.17230963506445141</v>
      </c>
      <c r="U86" s="138">
        <f t="shared" si="55"/>
        <v>-17887</v>
      </c>
      <c r="V86" s="91">
        <f t="shared" si="56"/>
        <v>17887</v>
      </c>
      <c r="W86" s="158">
        <f t="shared" si="63"/>
        <v>2.6261929232124503E-2</v>
      </c>
      <c r="X86" s="106"/>
    </row>
    <row r="87" spans="1:24" ht="15.75" hidden="1" outlineLevel="1" x14ac:dyDescent="0.3">
      <c r="A87" s="28" t="s">
        <v>147</v>
      </c>
      <c r="B87" s="28" t="s">
        <v>148</v>
      </c>
      <c r="C87" s="14"/>
      <c r="D87" s="14"/>
      <c r="E87" s="120"/>
      <c r="F87" s="121"/>
      <c r="G87" s="122"/>
      <c r="H87" s="172"/>
      <c r="I87" s="85"/>
      <c r="J87" s="86">
        <f t="shared" si="58"/>
        <v>0</v>
      </c>
      <c r="K87" s="154"/>
      <c r="L87" s="154"/>
      <c r="M87" s="77">
        <f t="shared" si="59"/>
        <v>0</v>
      </c>
      <c r="N87" s="77"/>
      <c r="O87" s="77"/>
      <c r="P87" s="77">
        <f t="shared" si="60"/>
        <v>0</v>
      </c>
      <c r="Q87" s="166"/>
      <c r="R87" s="167"/>
      <c r="S87" s="89">
        <f t="shared" ref="S87" si="64">SUM(Q87:R87)</f>
        <v>0</v>
      </c>
      <c r="T87" s="90" t="str">
        <f t="shared" si="54"/>
        <v>-</v>
      </c>
      <c r="U87" s="138">
        <f t="shared" si="55"/>
        <v>0</v>
      </c>
      <c r="V87" s="91">
        <f t="shared" si="56"/>
        <v>0</v>
      </c>
      <c r="W87" s="158" t="str">
        <f t="shared" si="63"/>
        <v>-</v>
      </c>
      <c r="X87" s="106"/>
    </row>
    <row r="88" spans="1:24" ht="15.75" hidden="1" outlineLevel="1" x14ac:dyDescent="0.3">
      <c r="A88" s="28" t="s">
        <v>149</v>
      </c>
      <c r="B88" s="28" t="s">
        <v>150</v>
      </c>
      <c r="C88" s="14"/>
      <c r="D88" s="14"/>
      <c r="E88" s="120"/>
      <c r="F88" s="121"/>
      <c r="G88" s="122"/>
      <c r="H88" s="172">
        <v>1466300</v>
      </c>
      <c r="I88" s="85">
        <v>1466300</v>
      </c>
      <c r="J88" s="86">
        <f t="shared" si="58"/>
        <v>0</v>
      </c>
      <c r="K88" s="154"/>
      <c r="L88" s="154"/>
      <c r="M88" s="77">
        <f t="shared" si="59"/>
        <v>0</v>
      </c>
      <c r="N88" s="77">
        <v>1466300</v>
      </c>
      <c r="O88" s="77"/>
      <c r="P88" s="77">
        <f t="shared" si="60"/>
        <v>1466300</v>
      </c>
      <c r="Q88" s="166">
        <v>158583.54999999999</v>
      </c>
      <c r="R88" s="168">
        <f>1466300-Q88</f>
        <v>1307716.45</v>
      </c>
      <c r="S88" s="89">
        <f t="shared" si="62"/>
        <v>1466300</v>
      </c>
      <c r="T88" s="90">
        <f t="shared" si="54"/>
        <v>0.10815218577371614</v>
      </c>
      <c r="U88" s="138">
        <f t="shared" si="55"/>
        <v>0</v>
      </c>
      <c r="V88" s="91">
        <f t="shared" si="56"/>
        <v>0</v>
      </c>
      <c r="W88" s="158">
        <f t="shared" si="63"/>
        <v>0</v>
      </c>
      <c r="X88" s="106"/>
    </row>
    <row r="89" spans="1:24" hidden="1" outlineLevel="1" x14ac:dyDescent="0.25">
      <c r="A89" s="62" t="s">
        <v>151</v>
      </c>
      <c r="B89" s="62" t="s">
        <v>152</v>
      </c>
      <c r="C89" s="93"/>
      <c r="D89" s="93"/>
      <c r="E89" s="94"/>
      <c r="F89" s="95"/>
      <c r="G89" s="96"/>
      <c r="H89" s="84">
        <v>454000</v>
      </c>
      <c r="I89" s="85">
        <v>454000</v>
      </c>
      <c r="J89" s="86">
        <f t="shared" si="58"/>
        <v>0</v>
      </c>
      <c r="K89" s="180"/>
      <c r="L89" s="180"/>
      <c r="M89" s="77">
        <f t="shared" si="59"/>
        <v>0</v>
      </c>
      <c r="N89" s="77">
        <v>454000</v>
      </c>
      <c r="O89" s="77"/>
      <c r="P89" s="77">
        <f t="shared" si="60"/>
        <v>454000</v>
      </c>
      <c r="Q89" s="181">
        <v>44776.5</v>
      </c>
      <c r="R89" s="182">
        <f>453190-Q89</f>
        <v>408413.5</v>
      </c>
      <c r="S89" s="85">
        <f t="shared" si="62"/>
        <v>453190</v>
      </c>
      <c r="T89" s="72">
        <f t="shared" si="54"/>
        <v>9.8802930338268716E-2</v>
      </c>
      <c r="U89" s="138">
        <f t="shared" si="55"/>
        <v>-810</v>
      </c>
      <c r="V89" s="139">
        <f t="shared" si="56"/>
        <v>810</v>
      </c>
      <c r="W89" s="74">
        <f t="shared" si="63"/>
        <v>1.7841409691629955E-3</v>
      </c>
      <c r="X89" s="98"/>
    </row>
    <row r="90" spans="1:24" hidden="1" outlineLevel="1" x14ac:dyDescent="0.25">
      <c r="A90" s="62" t="s">
        <v>153</v>
      </c>
      <c r="B90" s="62" t="s">
        <v>154</v>
      </c>
      <c r="C90" s="93"/>
      <c r="D90" s="93"/>
      <c r="E90" s="94"/>
      <c r="F90" s="95"/>
      <c r="G90" s="96"/>
      <c r="H90" s="84"/>
      <c r="I90" s="85"/>
      <c r="J90" s="86">
        <f t="shared" si="58"/>
        <v>0</v>
      </c>
      <c r="K90" s="180"/>
      <c r="L90" s="180"/>
      <c r="M90" s="77">
        <f t="shared" si="59"/>
        <v>0</v>
      </c>
      <c r="N90" s="77"/>
      <c r="O90" s="77"/>
      <c r="P90" s="77">
        <f t="shared" si="60"/>
        <v>0</v>
      </c>
      <c r="Q90" s="181"/>
      <c r="R90" s="183"/>
      <c r="S90" s="85">
        <f t="shared" si="62"/>
        <v>0</v>
      </c>
      <c r="T90" s="72" t="str">
        <f t="shared" si="54"/>
        <v>-</v>
      </c>
      <c r="U90" s="138"/>
      <c r="V90" s="139">
        <f t="shared" si="56"/>
        <v>0</v>
      </c>
      <c r="W90" s="74"/>
      <c r="X90" s="98"/>
    </row>
    <row r="91" spans="1:24" hidden="1" outlineLevel="1" x14ac:dyDescent="0.25">
      <c r="A91" s="62" t="s">
        <v>155</v>
      </c>
      <c r="B91" s="62" t="s">
        <v>156</v>
      </c>
      <c r="C91" s="93"/>
      <c r="D91" s="93"/>
      <c r="E91" s="94"/>
      <c r="F91" s="95"/>
      <c r="G91" s="96"/>
      <c r="H91" s="84"/>
      <c r="I91" s="85"/>
      <c r="J91" s="86">
        <f t="shared" si="58"/>
        <v>0</v>
      </c>
      <c r="K91" s="180"/>
      <c r="L91" s="180"/>
      <c r="M91" s="77">
        <f t="shared" si="59"/>
        <v>0</v>
      </c>
      <c r="N91" s="77"/>
      <c r="O91" s="77"/>
      <c r="P91" s="77">
        <f t="shared" si="60"/>
        <v>0</v>
      </c>
      <c r="Q91" s="181"/>
      <c r="R91" s="183"/>
      <c r="S91" s="85">
        <f t="shared" ref="S91" si="65">SUM(Q91:R91)</f>
        <v>0</v>
      </c>
      <c r="T91" s="72" t="str">
        <f t="shared" si="54"/>
        <v>-</v>
      </c>
      <c r="U91" s="138">
        <f t="shared" ref="U91" si="66">S91-I91</f>
        <v>0</v>
      </c>
      <c r="V91" s="139">
        <f t="shared" si="56"/>
        <v>0</v>
      </c>
      <c r="W91" s="74" t="str">
        <f t="shared" si="63"/>
        <v>-</v>
      </c>
      <c r="X91" s="98"/>
    </row>
    <row r="92" spans="1:24" ht="15.75" hidden="1" outlineLevel="1" x14ac:dyDescent="0.3">
      <c r="A92" s="28" t="s">
        <v>157</v>
      </c>
      <c r="B92" s="28" t="s">
        <v>158</v>
      </c>
      <c r="C92" s="14"/>
      <c r="D92" s="14"/>
      <c r="E92" s="120"/>
      <c r="F92" s="121"/>
      <c r="G92" s="122"/>
      <c r="H92" s="84">
        <v>2514800</v>
      </c>
      <c r="I92" s="85">
        <v>2514800</v>
      </c>
      <c r="J92" s="86">
        <f t="shared" si="58"/>
        <v>0</v>
      </c>
      <c r="K92" s="154"/>
      <c r="L92" s="154"/>
      <c r="M92" s="77">
        <f t="shared" si="59"/>
        <v>0</v>
      </c>
      <c r="N92" s="77">
        <v>2514800</v>
      </c>
      <c r="O92" s="77"/>
      <c r="P92" s="77">
        <f t="shared" si="60"/>
        <v>2514800</v>
      </c>
      <c r="Q92" s="166">
        <v>129097.55</v>
      </c>
      <c r="R92" s="168">
        <f>1850820-Q92</f>
        <v>1721722.45</v>
      </c>
      <c r="S92" s="89">
        <f t="shared" si="62"/>
        <v>1850820</v>
      </c>
      <c r="T92" s="90">
        <f t="shared" si="54"/>
        <v>6.9751542559514157E-2</v>
      </c>
      <c r="U92" s="138">
        <f t="shared" si="55"/>
        <v>-663980</v>
      </c>
      <c r="V92" s="91">
        <f t="shared" si="56"/>
        <v>663980</v>
      </c>
      <c r="W92" s="158">
        <f t="shared" si="63"/>
        <v>0.26402894862414505</v>
      </c>
      <c r="X92" s="143"/>
    </row>
    <row r="93" spans="1:24" ht="15.75" hidden="1" outlineLevel="1" x14ac:dyDescent="0.3">
      <c r="A93" s="28" t="s">
        <v>159</v>
      </c>
      <c r="B93" s="28" t="s">
        <v>160</v>
      </c>
      <c r="C93" s="14"/>
      <c r="D93" s="14"/>
      <c r="E93" s="120"/>
      <c r="F93" s="121"/>
      <c r="G93" s="122"/>
      <c r="H93" s="172"/>
      <c r="I93" s="85"/>
      <c r="J93" s="86">
        <f t="shared" si="58"/>
        <v>0</v>
      </c>
      <c r="K93" s="154"/>
      <c r="L93" s="154"/>
      <c r="M93" s="77">
        <f t="shared" si="59"/>
        <v>0</v>
      </c>
      <c r="N93" s="77"/>
      <c r="O93" s="77"/>
      <c r="P93" s="77">
        <f t="shared" si="60"/>
        <v>0</v>
      </c>
      <c r="Q93" s="166"/>
      <c r="R93" s="167"/>
      <c r="S93" s="89">
        <f t="shared" si="62"/>
        <v>0</v>
      </c>
      <c r="T93" s="90" t="str">
        <f t="shared" si="54"/>
        <v>-</v>
      </c>
      <c r="U93" s="138">
        <f t="shared" si="55"/>
        <v>0</v>
      </c>
      <c r="V93" s="91">
        <f t="shared" si="56"/>
        <v>0</v>
      </c>
      <c r="W93" s="158" t="str">
        <f t="shared" si="63"/>
        <v>-</v>
      </c>
      <c r="X93" s="106"/>
    </row>
    <row r="94" spans="1:24" hidden="1" outlineLevel="1" x14ac:dyDescent="0.25">
      <c r="A94" s="62" t="s">
        <v>161</v>
      </c>
      <c r="B94" s="62" t="s">
        <v>162</v>
      </c>
      <c r="C94" s="93"/>
      <c r="D94" s="93"/>
      <c r="E94" s="94"/>
      <c r="F94" s="95"/>
      <c r="G94" s="96"/>
      <c r="H94" s="84">
        <f>283300+96800+192100</f>
        <v>572200</v>
      </c>
      <c r="I94" s="85">
        <v>572200</v>
      </c>
      <c r="J94" s="86">
        <f t="shared" si="58"/>
        <v>0</v>
      </c>
      <c r="K94" s="180"/>
      <c r="L94" s="180"/>
      <c r="M94" s="77">
        <f t="shared" si="59"/>
        <v>0</v>
      </c>
      <c r="N94" s="77">
        <v>572200</v>
      </c>
      <c r="O94" s="77"/>
      <c r="P94" s="77">
        <f t="shared" si="60"/>
        <v>572200</v>
      </c>
      <c r="Q94" s="181"/>
      <c r="R94" s="182">
        <f>'[1]Maint Veh'!N32-'[1]Operating Results'!Q94</f>
        <v>572150.04</v>
      </c>
      <c r="S94" s="85">
        <f t="shared" si="62"/>
        <v>572150.04</v>
      </c>
      <c r="T94" s="72">
        <f t="shared" si="54"/>
        <v>0</v>
      </c>
      <c r="U94" s="138">
        <f t="shared" si="55"/>
        <v>-49.959999999962747</v>
      </c>
      <c r="V94" s="139">
        <f t="shared" si="56"/>
        <v>49.959999999962747</v>
      </c>
      <c r="W94" s="74">
        <f t="shared" si="63"/>
        <v>8.7312128626289314E-5</v>
      </c>
      <c r="X94" s="98"/>
    </row>
    <row r="95" spans="1:24" hidden="1" outlineLevel="1" x14ac:dyDescent="0.25">
      <c r="A95" s="62" t="s">
        <v>163</v>
      </c>
      <c r="B95" s="62" t="s">
        <v>64</v>
      </c>
      <c r="C95" s="93"/>
      <c r="D95" s="93"/>
      <c r="E95" s="94"/>
      <c r="F95" s="95"/>
      <c r="G95" s="96"/>
      <c r="H95" s="84"/>
      <c r="I95" s="85"/>
      <c r="J95" s="86">
        <f t="shared" si="58"/>
        <v>0</v>
      </c>
      <c r="K95" s="180"/>
      <c r="L95" s="180"/>
      <c r="M95" s="77">
        <f t="shared" si="59"/>
        <v>0</v>
      </c>
      <c r="N95" s="77"/>
      <c r="O95" s="77"/>
      <c r="P95" s="77">
        <f t="shared" si="60"/>
        <v>0</v>
      </c>
      <c r="Q95" s="181"/>
      <c r="R95" s="183"/>
      <c r="S95" s="85">
        <f t="shared" ref="S95" si="67">SUM(Q95:R95)</f>
        <v>0</v>
      </c>
      <c r="T95" s="72" t="str">
        <f t="shared" si="54"/>
        <v>-</v>
      </c>
      <c r="U95" s="138">
        <f t="shared" si="55"/>
        <v>0</v>
      </c>
      <c r="V95" s="139">
        <f t="shared" si="56"/>
        <v>0</v>
      </c>
      <c r="W95" s="74" t="str">
        <f t="shared" si="63"/>
        <v>-</v>
      </c>
      <c r="X95" s="98"/>
    </row>
    <row r="96" spans="1:24" ht="15.75" hidden="1" outlineLevel="1" x14ac:dyDescent="0.3">
      <c r="A96" s="28" t="s">
        <v>164</v>
      </c>
      <c r="B96" s="28" t="s">
        <v>165</v>
      </c>
      <c r="C96" s="14"/>
      <c r="D96" s="14"/>
      <c r="E96" s="120"/>
      <c r="F96" s="121"/>
      <c r="G96" s="122"/>
      <c r="H96" s="84">
        <v>1304100</v>
      </c>
      <c r="I96" s="85">
        <v>1304100</v>
      </c>
      <c r="J96" s="86">
        <f t="shared" si="58"/>
        <v>0</v>
      </c>
      <c r="K96" s="154"/>
      <c r="L96" s="154"/>
      <c r="M96" s="77">
        <f t="shared" si="59"/>
        <v>0</v>
      </c>
      <c r="N96" s="77">
        <v>1304100</v>
      </c>
      <c r="O96" s="77"/>
      <c r="P96" s="77">
        <f t="shared" si="60"/>
        <v>1304100</v>
      </c>
      <c r="Q96" s="166">
        <v>99115.01</v>
      </c>
      <c r="R96" s="168">
        <f>'[1]Heating Fuel'!AB35-'[1]Operating Results'!Q96</f>
        <v>573406.00051999989</v>
      </c>
      <c r="S96" s="89">
        <f t="shared" si="62"/>
        <v>672521.01051999989</v>
      </c>
      <c r="T96" s="90">
        <f t="shared" si="54"/>
        <v>0.14737831004471263</v>
      </c>
      <c r="U96" s="138">
        <f t="shared" si="55"/>
        <v>-631578.98948000011</v>
      </c>
      <c r="V96" s="91">
        <f t="shared" si="56"/>
        <v>631578.98948000011</v>
      </c>
      <c r="W96" s="158">
        <f t="shared" si="63"/>
        <v>0.48430257609079064</v>
      </c>
      <c r="X96" s="143"/>
    </row>
    <row r="97" spans="1:24" ht="15.75" hidden="1" outlineLevel="1" x14ac:dyDescent="0.3">
      <c r="A97" s="28" t="s">
        <v>166</v>
      </c>
      <c r="B97" s="28" t="s">
        <v>167</v>
      </c>
      <c r="C97" s="14"/>
      <c r="D97" s="14"/>
      <c r="E97" s="120"/>
      <c r="F97" s="121"/>
      <c r="G97" s="122"/>
      <c r="H97" s="84">
        <v>578100</v>
      </c>
      <c r="I97" s="85">
        <v>578100</v>
      </c>
      <c r="J97" s="86">
        <f t="shared" si="58"/>
        <v>0</v>
      </c>
      <c r="K97" s="154"/>
      <c r="L97" s="154"/>
      <c r="M97" s="77">
        <f t="shared" si="59"/>
        <v>0</v>
      </c>
      <c r="N97" s="77">
        <v>578100</v>
      </c>
      <c r="O97" s="77"/>
      <c r="P97" s="77">
        <f t="shared" si="60"/>
        <v>578100</v>
      </c>
      <c r="Q97" s="166">
        <v>91846.86</v>
      </c>
      <c r="R97" s="168">
        <f>'[1]Natural Gas'!N293-'[1]Operating Results'!Q97</f>
        <v>487386.25251588819</v>
      </c>
      <c r="S97" s="89">
        <f t="shared" ref="S97:S100" si="68">SUM(Q97:R97)</f>
        <v>579233.11251588818</v>
      </c>
      <c r="T97" s="90">
        <f t="shared" si="54"/>
        <v>0.15856631469334495</v>
      </c>
      <c r="U97" s="138">
        <f t="shared" si="55"/>
        <v>1133.1125158881769</v>
      </c>
      <c r="V97" s="91">
        <f t="shared" si="56"/>
        <v>-1133.1125158881769</v>
      </c>
      <c r="W97" s="158">
        <f t="shared" si="63"/>
        <v>-1.9600631653488615E-3</v>
      </c>
      <c r="X97" s="143"/>
    </row>
    <row r="98" spans="1:24" ht="15.75" hidden="1" outlineLevel="1" x14ac:dyDescent="0.3">
      <c r="A98" s="28" t="s">
        <v>168</v>
      </c>
      <c r="B98" s="28" t="s">
        <v>169</v>
      </c>
      <c r="C98" s="14"/>
      <c r="D98" s="14"/>
      <c r="E98" s="120"/>
      <c r="F98" s="121"/>
      <c r="G98" s="122"/>
      <c r="H98" s="84">
        <v>177900</v>
      </c>
      <c r="I98" s="85">
        <v>177900</v>
      </c>
      <c r="J98" s="86">
        <f t="shared" si="58"/>
        <v>0</v>
      </c>
      <c r="K98" s="154"/>
      <c r="L98" s="154"/>
      <c r="M98" s="77">
        <f t="shared" si="59"/>
        <v>0</v>
      </c>
      <c r="N98" s="77">
        <v>177900</v>
      </c>
      <c r="O98" s="77"/>
      <c r="P98" s="77">
        <f t="shared" si="60"/>
        <v>177900</v>
      </c>
      <c r="Q98" s="166">
        <v>15519.77</v>
      </c>
      <c r="R98" s="168">
        <f>121775-Q98</f>
        <v>106255.23</v>
      </c>
      <c r="S98" s="89">
        <f t="shared" si="68"/>
        <v>121775</v>
      </c>
      <c r="T98" s="90">
        <f t="shared" si="54"/>
        <v>0.12744627386573598</v>
      </c>
      <c r="U98" s="138">
        <f t="shared" si="55"/>
        <v>-56125</v>
      </c>
      <c r="V98" s="91">
        <f t="shared" si="56"/>
        <v>56125</v>
      </c>
      <c r="W98" s="158">
        <f t="shared" si="63"/>
        <v>0.31548622821810007</v>
      </c>
      <c r="X98" s="143"/>
    </row>
    <row r="99" spans="1:24" ht="15.75" hidden="1" outlineLevel="1" x14ac:dyDescent="0.3">
      <c r="A99" s="28" t="s">
        <v>170</v>
      </c>
      <c r="B99" s="28" t="s">
        <v>171</v>
      </c>
      <c r="C99" s="14"/>
      <c r="D99" s="14"/>
      <c r="E99" s="120"/>
      <c r="F99" s="121"/>
      <c r="G99" s="122"/>
      <c r="H99" s="84"/>
      <c r="I99" s="85"/>
      <c r="J99" s="86">
        <f t="shared" si="58"/>
        <v>0</v>
      </c>
      <c r="K99" s="154"/>
      <c r="L99" s="154"/>
      <c r="M99" s="77">
        <f t="shared" si="59"/>
        <v>0</v>
      </c>
      <c r="N99" s="77"/>
      <c r="O99" s="77"/>
      <c r="P99" s="77">
        <f t="shared" si="60"/>
        <v>0</v>
      </c>
      <c r="Q99" s="166"/>
      <c r="R99" s="167"/>
      <c r="S99" s="89">
        <f t="shared" si="68"/>
        <v>0</v>
      </c>
      <c r="T99" s="90"/>
      <c r="U99" s="138"/>
      <c r="V99" s="91">
        <f t="shared" si="56"/>
        <v>0</v>
      </c>
      <c r="W99" s="158"/>
      <c r="X99" s="143"/>
    </row>
    <row r="100" spans="1:24" ht="15.75" hidden="1" outlineLevel="1" x14ac:dyDescent="0.3">
      <c r="A100" s="28" t="s">
        <v>172</v>
      </c>
      <c r="B100" s="28" t="s">
        <v>173</v>
      </c>
      <c r="C100" s="14"/>
      <c r="D100" s="14"/>
      <c r="E100" s="120"/>
      <c r="F100" s="121"/>
      <c r="G100" s="122"/>
      <c r="H100" s="84"/>
      <c r="I100" s="85"/>
      <c r="J100" s="86">
        <f t="shared" si="58"/>
        <v>0</v>
      </c>
      <c r="K100" s="154"/>
      <c r="L100" s="154"/>
      <c r="M100" s="77">
        <f t="shared" si="59"/>
        <v>0</v>
      </c>
      <c r="N100" s="77"/>
      <c r="O100" s="77"/>
      <c r="P100" s="77">
        <f t="shared" si="60"/>
        <v>0</v>
      </c>
      <c r="Q100" s="181">
        <v>25526.74</v>
      </c>
      <c r="R100" s="168">
        <f>260000-Q100</f>
        <v>234473.26</v>
      </c>
      <c r="S100" s="89">
        <f t="shared" si="68"/>
        <v>260000</v>
      </c>
      <c r="T100" s="90"/>
      <c r="U100" s="138"/>
      <c r="V100" s="91">
        <f t="shared" si="56"/>
        <v>-260000</v>
      </c>
      <c r="W100" s="158"/>
      <c r="X100" s="143"/>
    </row>
    <row r="101" spans="1:24" ht="15.75" hidden="1" outlineLevel="1" x14ac:dyDescent="0.3">
      <c r="A101" s="28" t="s">
        <v>174</v>
      </c>
      <c r="B101" s="28" t="s">
        <v>154</v>
      </c>
      <c r="C101" s="1"/>
      <c r="D101" s="14"/>
      <c r="E101" s="120"/>
      <c r="F101" s="121"/>
      <c r="G101" s="122"/>
      <c r="H101" s="172">
        <v>2043200</v>
      </c>
      <c r="I101" s="85">
        <v>2043200</v>
      </c>
      <c r="J101" s="86">
        <f t="shared" si="58"/>
        <v>0</v>
      </c>
      <c r="K101" s="154"/>
      <c r="L101" s="154"/>
      <c r="M101" s="77">
        <f t="shared" si="59"/>
        <v>0</v>
      </c>
      <c r="N101" s="77">
        <v>2043200</v>
      </c>
      <c r="O101" s="77"/>
      <c r="P101" s="77">
        <f t="shared" si="60"/>
        <v>2043200</v>
      </c>
      <c r="Q101" s="166">
        <v>287241.92</v>
      </c>
      <c r="R101" s="168">
        <f>2600000-Q101-300000</f>
        <v>2012758.08</v>
      </c>
      <c r="S101" s="89">
        <f t="shared" si="62"/>
        <v>2300000</v>
      </c>
      <c r="T101" s="90">
        <f t="shared" si="54"/>
        <v>0.12488779130434782</v>
      </c>
      <c r="U101" s="138">
        <f t="shared" si="55"/>
        <v>256800</v>
      </c>
      <c r="V101" s="91">
        <f t="shared" si="56"/>
        <v>-256800</v>
      </c>
      <c r="W101" s="158">
        <f t="shared" si="63"/>
        <v>-0.12568519968676586</v>
      </c>
      <c r="X101" s="106"/>
    </row>
    <row r="102" spans="1:24" ht="15.75" hidden="1" outlineLevel="1" x14ac:dyDescent="0.3">
      <c r="A102" s="28" t="s">
        <v>175</v>
      </c>
      <c r="B102" s="28" t="s">
        <v>171</v>
      </c>
      <c r="C102" s="1"/>
      <c r="D102" s="14"/>
      <c r="E102" s="120"/>
      <c r="F102" s="121"/>
      <c r="G102" s="122"/>
      <c r="H102" s="172">
        <v>544900</v>
      </c>
      <c r="I102" s="85">
        <v>544900</v>
      </c>
      <c r="J102" s="86">
        <f t="shared" si="58"/>
        <v>0</v>
      </c>
      <c r="K102" s="154"/>
      <c r="L102" s="154"/>
      <c r="M102" s="77">
        <f t="shared" si="59"/>
        <v>0</v>
      </c>
      <c r="N102" s="77">
        <v>544900</v>
      </c>
      <c r="O102" s="77"/>
      <c r="P102" s="77">
        <f t="shared" si="60"/>
        <v>544900</v>
      </c>
      <c r="Q102" s="166">
        <v>171677.32</v>
      </c>
      <c r="R102" s="168">
        <f>700000-Q102-52913</f>
        <v>475409.67999999993</v>
      </c>
      <c r="S102" s="89">
        <f t="shared" si="62"/>
        <v>647087</v>
      </c>
      <c r="T102" s="90">
        <f t="shared" si="54"/>
        <v>0.26530794159054349</v>
      </c>
      <c r="U102" s="138">
        <f t="shared" si="55"/>
        <v>102187</v>
      </c>
      <c r="V102" s="91">
        <f t="shared" si="56"/>
        <v>-102187</v>
      </c>
      <c r="W102" s="158">
        <f t="shared" si="63"/>
        <v>-0.18753349238392367</v>
      </c>
      <c r="X102" s="106"/>
    </row>
    <row r="103" spans="1:24" ht="15.75" hidden="1" outlineLevel="1" x14ac:dyDescent="0.3">
      <c r="A103" s="28" t="s">
        <v>176</v>
      </c>
      <c r="B103" s="28" t="s">
        <v>177</v>
      </c>
      <c r="C103" s="1"/>
      <c r="D103" s="14"/>
      <c r="E103" s="120"/>
      <c r="F103" s="121"/>
      <c r="G103" s="122"/>
      <c r="H103" s="84"/>
      <c r="I103" s="85"/>
      <c r="J103" s="86">
        <f t="shared" si="58"/>
        <v>0</v>
      </c>
      <c r="K103" s="154"/>
      <c r="L103" s="154"/>
      <c r="M103" s="77">
        <f t="shared" si="59"/>
        <v>0</v>
      </c>
      <c r="N103" s="77"/>
      <c r="O103" s="77"/>
      <c r="P103" s="77">
        <f t="shared" si="60"/>
        <v>0</v>
      </c>
      <c r="Q103" s="166">
        <v>40781.24</v>
      </c>
      <c r="R103" s="167">
        <f>P103-Q103</f>
        <v>-40781.24</v>
      </c>
      <c r="S103" s="89">
        <f t="shared" ref="S103" si="69">SUM(Q103:R103)</f>
        <v>0</v>
      </c>
      <c r="T103" s="90" t="str">
        <f t="shared" si="54"/>
        <v>-</v>
      </c>
      <c r="U103" s="138">
        <f t="shared" si="55"/>
        <v>0</v>
      </c>
      <c r="V103" s="91">
        <f t="shared" si="56"/>
        <v>0</v>
      </c>
      <c r="W103" s="158" t="str">
        <f t="shared" si="63"/>
        <v>-</v>
      </c>
      <c r="X103" s="106"/>
    </row>
    <row r="104" spans="1:24" ht="15.75" collapsed="1" x14ac:dyDescent="0.3">
      <c r="A104" s="184" t="s">
        <v>178</v>
      </c>
      <c r="B104" s="6"/>
      <c r="C104" s="14"/>
      <c r="D104" s="14"/>
      <c r="E104" s="145">
        <f>E79</f>
        <v>0</v>
      </c>
      <c r="F104" s="109">
        <f>F80</f>
        <v>187.91</v>
      </c>
      <c r="G104" s="110">
        <f>G79</f>
        <v>-187.85</v>
      </c>
      <c r="H104" s="113">
        <f t="shared" ref="H104:S104" si="70">SUM(H79:H103)</f>
        <v>30694800</v>
      </c>
      <c r="I104" s="113">
        <f t="shared" si="70"/>
        <v>30694800</v>
      </c>
      <c r="J104" s="113">
        <f t="shared" si="70"/>
        <v>0</v>
      </c>
      <c r="K104" s="113">
        <f t="shared" si="70"/>
        <v>0</v>
      </c>
      <c r="L104" s="113">
        <f t="shared" si="70"/>
        <v>0</v>
      </c>
      <c r="M104" s="113">
        <f t="shared" si="70"/>
        <v>0</v>
      </c>
      <c r="N104" s="113">
        <f t="shared" si="70"/>
        <v>30694800</v>
      </c>
      <c r="O104" s="114">
        <f t="shared" si="70"/>
        <v>0</v>
      </c>
      <c r="P104" s="113">
        <f t="shared" si="70"/>
        <v>30694800</v>
      </c>
      <c r="Q104" s="115">
        <f t="shared" si="70"/>
        <v>4039228.53</v>
      </c>
      <c r="R104" s="113">
        <f t="shared" si="70"/>
        <v>25015943.633035887</v>
      </c>
      <c r="S104" s="113">
        <f t="shared" si="70"/>
        <v>29055172.163035888</v>
      </c>
      <c r="T104" s="116">
        <f>IF(ISERR(Q104/S104),"-",Q104/S104)</f>
        <v>0.13901925988718536</v>
      </c>
      <c r="U104" s="147">
        <f>SUM(U79:U103)</f>
        <v>-1899627.8369641118</v>
      </c>
      <c r="V104" s="117">
        <f>SUM(V79:V103)</f>
        <v>1639627.8369641118</v>
      </c>
      <c r="W104" s="118">
        <f t="shared" si="63"/>
        <v>5.3417120716346474E-2</v>
      </c>
      <c r="X104" s="119"/>
    </row>
    <row r="105" spans="1:24" ht="15.75" x14ac:dyDescent="0.3">
      <c r="A105" s="6"/>
      <c r="B105" s="6"/>
      <c r="C105" s="14"/>
      <c r="D105" s="14"/>
      <c r="E105" s="120"/>
      <c r="F105" s="121"/>
      <c r="G105" s="122"/>
      <c r="H105" s="120"/>
      <c r="I105" s="14"/>
      <c r="J105" s="14"/>
      <c r="K105" s="14"/>
      <c r="L105" s="14"/>
      <c r="M105" s="14"/>
      <c r="N105" s="14"/>
      <c r="O105" s="14"/>
      <c r="P105" s="14"/>
      <c r="Q105" s="55"/>
      <c r="R105" s="14"/>
      <c r="S105" s="14"/>
      <c r="T105" s="14"/>
      <c r="U105" s="61"/>
      <c r="V105" s="134"/>
      <c r="W105" s="135"/>
      <c r="X105" s="106"/>
    </row>
    <row r="106" spans="1:24" ht="15.75" x14ac:dyDescent="0.3">
      <c r="A106" s="6"/>
      <c r="B106" s="6"/>
      <c r="C106" s="14"/>
      <c r="D106" s="14"/>
      <c r="E106" s="120"/>
      <c r="F106" s="121"/>
      <c r="G106" s="122"/>
      <c r="H106" s="185"/>
      <c r="I106" s="14"/>
      <c r="J106" s="14"/>
      <c r="K106" s="14"/>
      <c r="L106" s="14"/>
      <c r="M106" s="14"/>
      <c r="N106" s="14"/>
      <c r="O106" s="14"/>
      <c r="P106" s="14"/>
      <c r="Q106" s="55"/>
      <c r="R106" s="14"/>
      <c r="S106" s="14"/>
      <c r="T106" s="14"/>
      <c r="U106" s="61"/>
      <c r="V106" s="134"/>
      <c r="W106" s="186"/>
      <c r="X106" s="134"/>
    </row>
    <row r="107" spans="1:24" ht="15.75" hidden="1" outlineLevel="1" x14ac:dyDescent="0.3">
      <c r="A107" s="59" t="s">
        <v>179</v>
      </c>
      <c r="B107" s="6"/>
      <c r="C107" s="14"/>
      <c r="D107" s="14"/>
      <c r="E107" s="120"/>
      <c r="F107" s="121"/>
      <c r="G107" s="122"/>
      <c r="H107" s="120"/>
      <c r="I107" s="14"/>
      <c r="J107" s="14"/>
      <c r="K107" s="14"/>
      <c r="L107" s="14"/>
      <c r="M107" s="14"/>
      <c r="N107" s="14"/>
      <c r="O107" s="14"/>
      <c r="P107" s="14"/>
      <c r="Q107" s="55"/>
      <c r="R107" s="14"/>
      <c r="S107" s="14"/>
      <c r="T107" s="14"/>
      <c r="U107" s="61"/>
      <c r="V107" s="134"/>
      <c r="W107" s="135"/>
      <c r="X107" s="106"/>
    </row>
    <row r="108" spans="1:24" ht="15.75" hidden="1" outlineLevel="1" x14ac:dyDescent="0.3">
      <c r="A108" s="28" t="s">
        <v>180</v>
      </c>
      <c r="B108" s="28" t="s">
        <v>181</v>
      </c>
      <c r="C108" s="14"/>
      <c r="D108" s="63" t="s">
        <v>44</v>
      </c>
      <c r="E108" s="64"/>
      <c r="F108" s="121">
        <v>257</v>
      </c>
      <c r="G108" s="66">
        <f t="shared" ref="G108:G109" si="71">E108-F108</f>
        <v>-257</v>
      </c>
      <c r="H108" s="151">
        <f>7957800+26600</f>
        <v>7984400</v>
      </c>
      <c r="I108" s="68">
        <v>7984400</v>
      </c>
      <c r="J108" s="76">
        <f>I108-H108</f>
        <v>0</v>
      </c>
      <c r="K108" s="153"/>
      <c r="L108" s="153"/>
      <c r="M108" s="68">
        <f>K108+L108</f>
        <v>0</v>
      </c>
      <c r="N108" s="68">
        <v>7984400</v>
      </c>
      <c r="O108" s="68"/>
      <c r="P108" s="68">
        <f>M108+N108+O108</f>
        <v>7984400</v>
      </c>
      <c r="Q108" s="124">
        <v>1704425.89</v>
      </c>
      <c r="R108" s="187">
        <f>7417000-Q108</f>
        <v>5712574.1100000003</v>
      </c>
      <c r="S108" s="157">
        <f>SUM(Q108:R108)</f>
        <v>7417000</v>
      </c>
      <c r="T108" s="90">
        <f t="shared" ref="T108:T116" si="72">IF(ISERR(Q108/S108),"-",Q108/S108)</f>
        <v>0.22979990427396521</v>
      </c>
      <c r="U108" s="138">
        <f t="shared" ref="U108:U115" si="73">S108-I108</f>
        <v>-567400</v>
      </c>
      <c r="V108" s="178">
        <f t="shared" ref="V108:V115" si="74">P108-S108</f>
        <v>567400</v>
      </c>
      <c r="W108" s="158">
        <f>IF(ISERR(V108/P108),"-",V108/P108)</f>
        <v>7.1063573969240013E-2</v>
      </c>
      <c r="X108" s="106"/>
    </row>
    <row r="109" spans="1:24" ht="15.75" hidden="1" outlineLevel="1" x14ac:dyDescent="0.3">
      <c r="A109" s="28"/>
      <c r="B109" s="28"/>
      <c r="C109" s="14"/>
      <c r="D109" s="63" t="s">
        <v>45</v>
      </c>
      <c r="E109" s="64"/>
      <c r="F109" s="121">
        <f>F108</f>
        <v>257</v>
      </c>
      <c r="G109" s="66">
        <f t="shared" si="71"/>
        <v>-257</v>
      </c>
      <c r="H109" s="151"/>
      <c r="I109" s="68"/>
      <c r="J109" s="76"/>
      <c r="K109" s="153"/>
      <c r="L109" s="153"/>
      <c r="M109" s="68"/>
      <c r="N109" s="68"/>
      <c r="O109" s="68"/>
      <c r="P109" s="77"/>
      <c r="Q109" s="124"/>
      <c r="R109" s="123"/>
      <c r="S109" s="157"/>
      <c r="T109" s="90"/>
      <c r="U109" s="138"/>
      <c r="V109" s="178"/>
      <c r="W109" s="158"/>
      <c r="X109" s="106"/>
    </row>
    <row r="110" spans="1:24" ht="15.75" hidden="1" outlineLevel="1" x14ac:dyDescent="0.3">
      <c r="A110" s="28" t="s">
        <v>182</v>
      </c>
      <c r="B110" s="62" t="s">
        <v>136</v>
      </c>
      <c r="C110" s="14"/>
      <c r="D110" s="63"/>
      <c r="E110" s="120"/>
      <c r="F110" s="121"/>
      <c r="G110" s="144"/>
      <c r="H110" s="84"/>
      <c r="I110" s="85"/>
      <c r="J110" s="86">
        <f>I110-H110</f>
        <v>0</v>
      </c>
      <c r="K110" s="153"/>
      <c r="L110" s="153"/>
      <c r="M110" s="77">
        <f>K110+L110</f>
        <v>0</v>
      </c>
      <c r="N110" s="77"/>
      <c r="O110" s="77"/>
      <c r="P110" s="77">
        <f>M110+N110+O110</f>
        <v>0</v>
      </c>
      <c r="Q110" s="124">
        <v>85274.28</v>
      </c>
      <c r="R110" s="123">
        <f>431000-Q110</f>
        <v>345725.72</v>
      </c>
      <c r="S110" s="89">
        <f>SUM(Q110:R110)</f>
        <v>431000</v>
      </c>
      <c r="T110" s="90">
        <f t="shared" si="72"/>
        <v>0.1978521577726218</v>
      </c>
      <c r="U110" s="138">
        <f t="shared" si="73"/>
        <v>431000</v>
      </c>
      <c r="V110" s="139">
        <f t="shared" si="74"/>
        <v>-431000</v>
      </c>
      <c r="W110" s="188" t="str">
        <f t="shared" ref="W110:W116" si="75">IF(ISERR(V110/P110),"-",V110/P110)</f>
        <v>-</v>
      </c>
      <c r="X110" s="106"/>
    </row>
    <row r="111" spans="1:24" ht="15.75" hidden="1" outlineLevel="1" x14ac:dyDescent="0.3">
      <c r="A111" s="62" t="s">
        <v>183</v>
      </c>
      <c r="B111" s="62" t="s">
        <v>140</v>
      </c>
      <c r="C111" s="14"/>
      <c r="D111" s="63"/>
      <c r="E111" s="120"/>
      <c r="F111" s="121"/>
      <c r="G111" s="144"/>
      <c r="H111" s="84"/>
      <c r="I111" s="85"/>
      <c r="J111" s="86">
        <f t="shared" ref="J111:J115" si="76">I111-H111</f>
        <v>0</v>
      </c>
      <c r="K111" s="153"/>
      <c r="L111" s="154"/>
      <c r="M111" s="77">
        <f t="shared" ref="M111:M115" si="77">K111+L111</f>
        <v>0</v>
      </c>
      <c r="N111" s="77"/>
      <c r="O111" s="77"/>
      <c r="P111" s="77">
        <f t="shared" ref="P111:P115" si="78">M111+N111+O111</f>
        <v>0</v>
      </c>
      <c r="Q111" s="124">
        <v>39005.58</v>
      </c>
      <c r="R111" s="123">
        <f>106000-Q111</f>
        <v>66994.42</v>
      </c>
      <c r="S111" s="89">
        <f t="shared" ref="S111:S115" si="79">SUM(Q111:R111)</f>
        <v>106000</v>
      </c>
      <c r="T111" s="90">
        <f t="shared" si="72"/>
        <v>0.36797716981132078</v>
      </c>
      <c r="U111" s="138">
        <f t="shared" si="73"/>
        <v>106000</v>
      </c>
      <c r="V111" s="139">
        <f t="shared" si="74"/>
        <v>-106000</v>
      </c>
      <c r="W111" s="188" t="str">
        <f t="shared" si="75"/>
        <v>-</v>
      </c>
      <c r="X111" s="106"/>
    </row>
    <row r="112" spans="1:24" ht="15.75" hidden="1" outlineLevel="1" x14ac:dyDescent="0.3">
      <c r="A112" s="28" t="s">
        <v>184</v>
      </c>
      <c r="B112" s="28" t="s">
        <v>185</v>
      </c>
      <c r="C112" s="14"/>
      <c r="D112" s="14"/>
      <c r="E112" s="120"/>
      <c r="F112" s="121"/>
      <c r="G112" s="122"/>
      <c r="H112" s="172">
        <v>440700</v>
      </c>
      <c r="I112" s="85">
        <v>440700</v>
      </c>
      <c r="J112" s="86">
        <f t="shared" si="76"/>
        <v>0</v>
      </c>
      <c r="K112" s="154"/>
      <c r="L112" s="154"/>
      <c r="M112" s="77">
        <f t="shared" si="77"/>
        <v>0</v>
      </c>
      <c r="N112" s="77">
        <v>440700</v>
      </c>
      <c r="O112" s="77"/>
      <c r="P112" s="77">
        <f t="shared" si="78"/>
        <v>440700</v>
      </c>
      <c r="Q112" s="166">
        <v>282801.90000000002</v>
      </c>
      <c r="R112" s="167">
        <f>1056000-Q112</f>
        <v>773198.1</v>
      </c>
      <c r="S112" s="89">
        <f t="shared" si="79"/>
        <v>1056000</v>
      </c>
      <c r="T112" s="90">
        <f t="shared" si="72"/>
        <v>0.26780482954545459</v>
      </c>
      <c r="U112" s="138">
        <f t="shared" si="73"/>
        <v>615300</v>
      </c>
      <c r="V112" s="139">
        <f t="shared" si="74"/>
        <v>-615300</v>
      </c>
      <c r="W112" s="188">
        <f t="shared" si="75"/>
        <v>-1.3961878829135466</v>
      </c>
      <c r="X112" s="98"/>
    </row>
    <row r="113" spans="1:24" ht="15.75" hidden="1" outlineLevel="1" x14ac:dyDescent="0.3">
      <c r="A113" s="28" t="s">
        <v>186</v>
      </c>
      <c r="B113" s="28" t="s">
        <v>187</v>
      </c>
      <c r="C113" s="14"/>
      <c r="D113" s="14"/>
      <c r="E113" s="120"/>
      <c r="F113" s="121"/>
      <c r="G113" s="122"/>
      <c r="H113" s="172">
        <v>175500</v>
      </c>
      <c r="I113" s="85">
        <v>175500</v>
      </c>
      <c r="J113" s="86">
        <f t="shared" si="76"/>
        <v>0</v>
      </c>
      <c r="K113" s="154"/>
      <c r="L113" s="154"/>
      <c r="M113" s="77">
        <f t="shared" si="77"/>
        <v>0</v>
      </c>
      <c r="N113" s="77">
        <v>175500</v>
      </c>
      <c r="O113" s="77"/>
      <c r="P113" s="77">
        <f t="shared" si="78"/>
        <v>175500</v>
      </c>
      <c r="Q113" s="166">
        <v>11821.45</v>
      </c>
      <c r="R113" s="167">
        <f>85000-Q113</f>
        <v>73178.55</v>
      </c>
      <c r="S113" s="89">
        <f t="shared" si="79"/>
        <v>85000</v>
      </c>
      <c r="T113" s="90">
        <f t="shared" si="72"/>
        <v>0.13907588235294119</v>
      </c>
      <c r="U113" s="138">
        <f t="shared" si="73"/>
        <v>-90500</v>
      </c>
      <c r="V113" s="139">
        <f t="shared" si="74"/>
        <v>90500</v>
      </c>
      <c r="W113" s="188">
        <f t="shared" si="75"/>
        <v>0.51566951566951569</v>
      </c>
      <c r="X113" s="106"/>
    </row>
    <row r="114" spans="1:24" hidden="1" outlineLevel="1" x14ac:dyDescent="0.25">
      <c r="A114" s="62" t="s">
        <v>188</v>
      </c>
      <c r="B114" s="62" t="s">
        <v>189</v>
      </c>
      <c r="C114" s="62"/>
      <c r="D114" s="62"/>
      <c r="E114" s="189"/>
      <c r="F114" s="190"/>
      <c r="G114" s="191"/>
      <c r="H114" s="84">
        <f>1446100+2213300+3565800</f>
        <v>7225200</v>
      </c>
      <c r="I114" s="85">
        <v>7225200</v>
      </c>
      <c r="J114" s="86">
        <f t="shared" si="76"/>
        <v>0</v>
      </c>
      <c r="K114" s="192"/>
      <c r="L114" s="192"/>
      <c r="M114" s="77">
        <f t="shared" si="77"/>
        <v>0</v>
      </c>
      <c r="N114" s="77">
        <v>7225200</v>
      </c>
      <c r="O114" s="77"/>
      <c r="P114" s="77">
        <f t="shared" si="78"/>
        <v>7225200</v>
      </c>
      <c r="Q114" s="193">
        <v>0</v>
      </c>
      <c r="R114" s="194">
        <f>'[1]Bus Ops'!O39-Q114</f>
        <v>7263957.1800000006</v>
      </c>
      <c r="S114" s="89">
        <f t="shared" si="79"/>
        <v>7263957.1800000006</v>
      </c>
      <c r="T114" s="90">
        <f t="shared" si="72"/>
        <v>0</v>
      </c>
      <c r="U114" s="138">
        <f t="shared" si="73"/>
        <v>38757.180000000633</v>
      </c>
      <c r="V114" s="139">
        <f t="shared" si="74"/>
        <v>-38757.180000000633</v>
      </c>
      <c r="W114" s="188">
        <f t="shared" si="75"/>
        <v>-5.3641670818801741E-3</v>
      </c>
      <c r="X114" s="98"/>
    </row>
    <row r="115" spans="1:24" hidden="1" outlineLevel="1" x14ac:dyDescent="0.25">
      <c r="A115" s="62" t="s">
        <v>190</v>
      </c>
      <c r="B115" s="62" t="s">
        <v>64</v>
      </c>
      <c r="C115" s="62"/>
      <c r="D115" s="62"/>
      <c r="E115" s="189"/>
      <c r="F115" s="190"/>
      <c r="G115" s="191"/>
      <c r="H115" s="84"/>
      <c r="I115" s="85"/>
      <c r="J115" s="86">
        <f t="shared" si="76"/>
        <v>0</v>
      </c>
      <c r="K115" s="192"/>
      <c r="L115" s="192"/>
      <c r="M115" s="77">
        <f t="shared" si="77"/>
        <v>0</v>
      </c>
      <c r="N115" s="77"/>
      <c r="O115" s="77"/>
      <c r="P115" s="77">
        <f t="shared" si="78"/>
        <v>0</v>
      </c>
      <c r="Q115" s="193">
        <v>40656.78</v>
      </c>
      <c r="R115" s="195">
        <f>300000-Q115</f>
        <v>259343.22</v>
      </c>
      <c r="S115" s="89">
        <f t="shared" si="79"/>
        <v>300000</v>
      </c>
      <c r="T115" s="90">
        <f t="shared" si="72"/>
        <v>0.13552259999999999</v>
      </c>
      <c r="U115" s="138">
        <f t="shared" si="73"/>
        <v>300000</v>
      </c>
      <c r="V115" s="139">
        <f t="shared" si="74"/>
        <v>-300000</v>
      </c>
      <c r="W115" s="188" t="str">
        <f t="shared" si="75"/>
        <v>-</v>
      </c>
      <c r="X115" s="196"/>
    </row>
    <row r="116" spans="1:24" ht="15.75" collapsed="1" x14ac:dyDescent="0.3">
      <c r="A116" s="1" t="s">
        <v>191</v>
      </c>
      <c r="B116" s="6"/>
      <c r="C116" s="14"/>
      <c r="D116" s="14"/>
      <c r="E116" s="145">
        <f>E109</f>
        <v>0</v>
      </c>
      <c r="F116" s="109">
        <f>F109</f>
        <v>257</v>
      </c>
      <c r="G116" s="110">
        <f>G109</f>
        <v>-257</v>
      </c>
      <c r="H116" s="113">
        <f t="shared" ref="H116:S116" si="80">SUM(H108:H115)</f>
        <v>15825800</v>
      </c>
      <c r="I116" s="113">
        <f t="shared" si="80"/>
        <v>15825800</v>
      </c>
      <c r="J116" s="146">
        <f t="shared" si="80"/>
        <v>0</v>
      </c>
      <c r="K116" s="113">
        <f t="shared" si="80"/>
        <v>0</v>
      </c>
      <c r="L116" s="113">
        <f t="shared" si="80"/>
        <v>0</v>
      </c>
      <c r="M116" s="113">
        <f t="shared" si="80"/>
        <v>0</v>
      </c>
      <c r="N116" s="113">
        <f t="shared" si="80"/>
        <v>15825800</v>
      </c>
      <c r="O116" s="114">
        <f t="shared" si="80"/>
        <v>0</v>
      </c>
      <c r="P116" s="113">
        <f t="shared" si="80"/>
        <v>15825800</v>
      </c>
      <c r="Q116" s="115">
        <f t="shared" si="80"/>
        <v>2163985.88</v>
      </c>
      <c r="R116" s="113">
        <f t="shared" si="80"/>
        <v>14494971.300000001</v>
      </c>
      <c r="S116" s="113">
        <f t="shared" si="80"/>
        <v>16658957.18</v>
      </c>
      <c r="T116" s="116">
        <f t="shared" si="72"/>
        <v>0.1298992401876142</v>
      </c>
      <c r="U116" s="147">
        <f>SUM(U108:U115)</f>
        <v>833157.18000000063</v>
      </c>
      <c r="V116" s="117">
        <f>SUM(V108:V115)</f>
        <v>-833157.18000000063</v>
      </c>
      <c r="W116" s="118">
        <f t="shared" si="75"/>
        <v>-5.264550164920577E-2</v>
      </c>
      <c r="X116" s="119"/>
    </row>
    <row r="117" spans="1:24" ht="15.75" x14ac:dyDescent="0.3">
      <c r="A117" s="6"/>
      <c r="B117" s="6"/>
      <c r="C117" s="14"/>
      <c r="D117" s="14"/>
      <c r="E117" s="120"/>
      <c r="F117" s="121"/>
      <c r="G117" s="122"/>
      <c r="H117" s="120"/>
      <c r="I117" s="14"/>
      <c r="J117" s="14"/>
      <c r="K117" s="14"/>
      <c r="L117" s="14"/>
      <c r="M117" s="14"/>
      <c r="N117" s="14"/>
      <c r="O117" s="14"/>
      <c r="P117" s="14"/>
      <c r="Q117" s="55"/>
      <c r="R117" s="14"/>
      <c r="S117" s="14"/>
      <c r="T117" s="14"/>
      <c r="U117" s="61"/>
      <c r="V117" s="134"/>
      <c r="W117" s="135"/>
      <c r="X117" s="106"/>
    </row>
    <row r="118" spans="1:24" ht="15.75" x14ac:dyDescent="0.3">
      <c r="A118" s="6"/>
      <c r="B118" s="6"/>
      <c r="C118" s="14"/>
      <c r="D118" s="14"/>
      <c r="E118" s="120"/>
      <c r="F118" s="121"/>
      <c r="G118" s="122"/>
      <c r="H118" s="120"/>
      <c r="I118" s="131"/>
      <c r="J118" s="131"/>
      <c r="K118" s="131"/>
      <c r="L118" s="131"/>
      <c r="M118" s="131"/>
      <c r="N118" s="131"/>
      <c r="O118" s="131"/>
      <c r="P118" s="131"/>
      <c r="Q118" s="132"/>
      <c r="R118" s="131"/>
      <c r="S118" s="131"/>
      <c r="T118" s="131"/>
      <c r="U118" s="133"/>
      <c r="V118" s="134"/>
      <c r="W118" s="135"/>
      <c r="X118" s="106"/>
    </row>
    <row r="119" spans="1:24" ht="15.75" hidden="1" outlineLevel="1" x14ac:dyDescent="0.3">
      <c r="A119" s="197" t="s">
        <v>192</v>
      </c>
      <c r="B119" s="6"/>
      <c r="C119" s="14"/>
      <c r="D119" s="14"/>
      <c r="E119" s="120"/>
      <c r="F119" s="121"/>
      <c r="G119" s="122"/>
      <c r="H119" s="120"/>
      <c r="I119" s="14"/>
      <c r="J119" s="14"/>
      <c r="K119" s="14"/>
      <c r="L119" s="14"/>
      <c r="M119" s="14"/>
      <c r="N119" s="14"/>
      <c r="O119" s="14"/>
      <c r="P119" s="14"/>
      <c r="Q119" s="55"/>
      <c r="R119" s="14"/>
      <c r="S119" s="14"/>
      <c r="T119" s="14"/>
      <c r="U119" s="61"/>
      <c r="V119" s="134"/>
      <c r="W119" s="135"/>
      <c r="X119" s="106"/>
    </row>
    <row r="120" spans="1:24" ht="15.75" hidden="1" outlineLevel="1" x14ac:dyDescent="0.3">
      <c r="A120" s="6"/>
      <c r="B120" s="6"/>
      <c r="C120" s="14"/>
      <c r="D120" s="14"/>
      <c r="E120" s="120"/>
      <c r="F120" s="121"/>
      <c r="G120" s="122"/>
      <c r="H120" s="120"/>
      <c r="I120" s="14"/>
      <c r="J120" s="14"/>
      <c r="K120" s="14"/>
      <c r="L120" s="14"/>
      <c r="M120" s="14"/>
      <c r="N120" s="14"/>
      <c r="O120" s="14"/>
      <c r="P120" s="14"/>
      <c r="Q120" s="55"/>
      <c r="R120" s="14"/>
      <c r="S120" s="14"/>
      <c r="T120" s="14"/>
      <c r="U120" s="61"/>
      <c r="V120" s="134"/>
      <c r="W120" s="135"/>
      <c r="X120" s="106"/>
    </row>
    <row r="121" spans="1:24" ht="15.75" hidden="1" outlineLevel="1" x14ac:dyDescent="0.3">
      <c r="A121" s="59" t="s">
        <v>193</v>
      </c>
      <c r="B121" s="6"/>
      <c r="C121" s="14"/>
      <c r="D121" s="14"/>
      <c r="E121" s="120"/>
      <c r="F121" s="121"/>
      <c r="G121" s="122"/>
      <c r="H121" s="120"/>
      <c r="I121" s="14"/>
      <c r="J121" s="14"/>
      <c r="K121" s="14"/>
      <c r="L121" s="14"/>
      <c r="M121" s="14"/>
      <c r="N121" s="14"/>
      <c r="O121" s="14"/>
      <c r="P121" s="14"/>
      <c r="Q121" s="55"/>
      <c r="R121" s="14"/>
      <c r="S121" s="14"/>
      <c r="T121" s="14"/>
      <c r="U121" s="61"/>
      <c r="V121" s="134"/>
      <c r="W121" s="135"/>
      <c r="X121" s="106"/>
    </row>
    <row r="122" spans="1:24" ht="15.75" hidden="1" outlineLevel="1" x14ac:dyDescent="0.3">
      <c r="A122" s="28" t="s">
        <v>194</v>
      </c>
      <c r="B122" s="28" t="s">
        <v>195</v>
      </c>
      <c r="C122" s="14"/>
      <c r="D122" s="14"/>
      <c r="E122" s="120"/>
      <c r="F122" s="121"/>
      <c r="G122" s="66"/>
      <c r="H122" s="151">
        <v>60000</v>
      </c>
      <c r="I122" s="68">
        <v>60000</v>
      </c>
      <c r="J122" s="76">
        <f>I122-H122</f>
        <v>0</v>
      </c>
      <c r="K122" s="153"/>
      <c r="L122" s="153"/>
      <c r="M122" s="68">
        <f>K122+L122</f>
        <v>0</v>
      </c>
      <c r="N122" s="68">
        <v>60000</v>
      </c>
      <c r="O122" s="68"/>
      <c r="P122" s="68">
        <f>M122+N122+O122</f>
        <v>60000</v>
      </c>
      <c r="Q122" s="124">
        <v>7778.58</v>
      </c>
      <c r="R122" s="123">
        <f>P122-Q122</f>
        <v>52221.42</v>
      </c>
      <c r="S122" s="157">
        <f>SUM(Q122:R122)</f>
        <v>60000</v>
      </c>
      <c r="T122" s="90">
        <f>IF(ISERR(Q122/S122),"-",Q122/S122)</f>
        <v>0.12964300000000001</v>
      </c>
      <c r="U122" s="138">
        <f>S122-I122</f>
        <v>0</v>
      </c>
      <c r="V122" s="126">
        <f t="shared" ref="V122:V123" si="81">P122-S122</f>
        <v>0</v>
      </c>
      <c r="W122" s="158">
        <f>IF(ISERR(V122/P122),"-",V122/P122)</f>
        <v>0</v>
      </c>
      <c r="X122" s="106"/>
    </row>
    <row r="123" spans="1:24" ht="15.75" hidden="1" outlineLevel="1" x14ac:dyDescent="0.3">
      <c r="A123" s="28" t="s">
        <v>196</v>
      </c>
      <c r="B123" s="28" t="s">
        <v>197</v>
      </c>
      <c r="C123" s="14"/>
      <c r="D123" s="14"/>
      <c r="E123" s="120"/>
      <c r="F123" s="121"/>
      <c r="G123" s="122"/>
      <c r="H123" s="172"/>
      <c r="I123" s="85">
        <f>50000+71000</f>
        <v>121000</v>
      </c>
      <c r="J123" s="86">
        <f>I123-H123</f>
        <v>121000</v>
      </c>
      <c r="K123" s="154"/>
      <c r="L123" s="154"/>
      <c r="M123" s="77">
        <f>K123+L123</f>
        <v>0</v>
      </c>
      <c r="N123" s="77"/>
      <c r="O123" s="77">
        <f>50000+71000</f>
        <v>121000</v>
      </c>
      <c r="P123" s="77">
        <f>M123+N123+O123</f>
        <v>121000</v>
      </c>
      <c r="Q123" s="166">
        <v>2682.76</v>
      </c>
      <c r="R123" s="168">
        <f>P123-Q123-15000</f>
        <v>103317.24</v>
      </c>
      <c r="S123" s="89">
        <f>SUM(Q123:R123)</f>
        <v>106000</v>
      </c>
      <c r="T123" s="90">
        <f>IF(ISERR(Q123/S123),"-",Q123/S123)</f>
        <v>2.5309056603773587E-2</v>
      </c>
      <c r="U123" s="138">
        <f>S123-I123</f>
        <v>-15000</v>
      </c>
      <c r="V123" s="91">
        <f t="shared" si="81"/>
        <v>15000</v>
      </c>
      <c r="W123" s="158">
        <f>IF(ISERR(V123/P123),"-",V123/P123)</f>
        <v>0.12396694214876033</v>
      </c>
      <c r="X123" s="106"/>
    </row>
    <row r="124" spans="1:24" ht="15.75" hidden="1" outlineLevel="1" x14ac:dyDescent="0.3">
      <c r="A124" s="1" t="s">
        <v>198</v>
      </c>
      <c r="B124" s="6"/>
      <c r="C124" s="14"/>
      <c r="D124" s="14"/>
      <c r="E124" s="145">
        <f>SUM(E122:E123)</f>
        <v>0</v>
      </c>
      <c r="F124" s="109">
        <f>SUM(F122:F123)</f>
        <v>0</v>
      </c>
      <c r="G124" s="110">
        <f>SUM(G122:G123)</f>
        <v>0</v>
      </c>
      <c r="H124" s="113">
        <f>SUM(H122:H123)</f>
        <v>60000</v>
      </c>
      <c r="I124" s="113">
        <f>SUM(I122:I123)</f>
        <v>181000</v>
      </c>
      <c r="J124" s="146">
        <f t="shared" ref="J124:P124" si="82">SUM(J122:J123)</f>
        <v>121000</v>
      </c>
      <c r="K124" s="113">
        <f t="shared" si="82"/>
        <v>0</v>
      </c>
      <c r="L124" s="113">
        <f t="shared" si="82"/>
        <v>0</v>
      </c>
      <c r="M124" s="113">
        <f t="shared" si="82"/>
        <v>0</v>
      </c>
      <c r="N124" s="113">
        <f t="shared" si="82"/>
        <v>60000</v>
      </c>
      <c r="O124" s="165">
        <f t="shared" si="82"/>
        <v>121000</v>
      </c>
      <c r="P124" s="113">
        <f t="shared" si="82"/>
        <v>181000</v>
      </c>
      <c r="Q124" s="115">
        <f>SUM(Q122:Q123)</f>
        <v>10461.34</v>
      </c>
      <c r="R124" s="113">
        <f>SUM(R122:R123)</f>
        <v>155538.66</v>
      </c>
      <c r="S124" s="113">
        <f>SUM(S122:S123)</f>
        <v>166000</v>
      </c>
      <c r="T124" s="116">
        <f>IF(ISERR(Q124/S124),"-",Q124/S124)</f>
        <v>6.3020120481927705E-2</v>
      </c>
      <c r="U124" s="147">
        <f>SUM(U122:U123)</f>
        <v>-15000</v>
      </c>
      <c r="V124" s="117">
        <f>SUM(V122:V123)</f>
        <v>15000</v>
      </c>
      <c r="W124" s="118">
        <f>IF(ISERR(V124/P124),"-",V124/P124)</f>
        <v>8.2872928176795577E-2</v>
      </c>
      <c r="X124" s="119"/>
    </row>
    <row r="125" spans="1:24" ht="15.75" hidden="1" outlineLevel="1" x14ac:dyDescent="0.3">
      <c r="A125" s="6"/>
      <c r="B125" s="6"/>
      <c r="C125" s="14"/>
      <c r="D125" s="14"/>
      <c r="E125" s="120"/>
      <c r="F125" s="121"/>
      <c r="G125" s="122"/>
      <c r="H125" s="120"/>
      <c r="I125" s="14"/>
      <c r="J125" s="14"/>
      <c r="K125" s="14"/>
      <c r="L125" s="14"/>
      <c r="M125" s="14"/>
      <c r="N125" s="14"/>
      <c r="O125" s="14"/>
      <c r="P125" s="14"/>
      <c r="Q125" s="55"/>
      <c r="R125" s="14"/>
      <c r="S125" s="14"/>
      <c r="T125" s="14"/>
      <c r="U125" s="61"/>
      <c r="V125" s="134"/>
      <c r="W125" s="135"/>
      <c r="X125" s="106"/>
    </row>
    <row r="126" spans="1:24" ht="15.75" hidden="1" outlineLevel="1" x14ac:dyDescent="0.3">
      <c r="A126" s="59" t="s">
        <v>199</v>
      </c>
      <c r="B126" s="6"/>
      <c r="C126" s="14"/>
      <c r="D126" s="14"/>
      <c r="E126" s="120"/>
      <c r="F126" s="121"/>
      <c r="G126" s="122"/>
      <c r="H126" s="120"/>
      <c r="I126" s="14"/>
      <c r="J126" s="14"/>
      <c r="K126" s="14"/>
      <c r="L126" s="14"/>
      <c r="M126" s="14"/>
      <c r="N126" s="14"/>
      <c r="O126" s="14"/>
      <c r="P126" s="14"/>
      <c r="Q126" s="55"/>
      <c r="R126" s="14"/>
      <c r="S126" s="14"/>
      <c r="T126" s="14"/>
      <c r="U126" s="61"/>
      <c r="V126" s="134"/>
      <c r="W126" s="135"/>
      <c r="X126" s="106"/>
    </row>
    <row r="127" spans="1:24" ht="15.75" hidden="1" outlineLevel="1" x14ac:dyDescent="0.3">
      <c r="A127" s="28" t="s">
        <v>200</v>
      </c>
      <c r="B127" s="28" t="s">
        <v>201</v>
      </c>
      <c r="C127" s="14"/>
      <c r="D127" s="63" t="s">
        <v>44</v>
      </c>
      <c r="E127" s="64"/>
      <c r="F127" s="121">
        <f>104-1-3-21+1+1+1</f>
        <v>82</v>
      </c>
      <c r="G127" s="66">
        <f t="shared" ref="G127" si="83">E127-F127</f>
        <v>-82</v>
      </c>
      <c r="H127" s="151">
        <f>3677500+4853700</f>
        <v>8531200</v>
      </c>
      <c r="I127" s="68">
        <v>8531200</v>
      </c>
      <c r="J127" s="76">
        <f>I127-H127</f>
        <v>0</v>
      </c>
      <c r="K127" s="153"/>
      <c r="L127" s="153"/>
      <c r="M127" s="68">
        <f>K127+L127</f>
        <v>0</v>
      </c>
      <c r="N127" s="68">
        <v>8531200</v>
      </c>
      <c r="O127" s="68"/>
      <c r="P127" s="68">
        <f>M127+N127+O127</f>
        <v>8531200</v>
      </c>
      <c r="Q127" s="124">
        <v>1080662.01</v>
      </c>
      <c r="R127" s="187">
        <f>8045977-Q127</f>
        <v>6965314.9900000002</v>
      </c>
      <c r="S127" s="198">
        <f>SUM(Q127:R127)</f>
        <v>8045977</v>
      </c>
      <c r="T127" s="90">
        <f>IF(ISERR(Q127/S127),"-",Q127/S127)</f>
        <v>0.13431085000615836</v>
      </c>
      <c r="U127" s="138">
        <f>S127-I127</f>
        <v>-485223</v>
      </c>
      <c r="V127" s="126">
        <f t="shared" ref="V127:V131" si="84">P127-S127</f>
        <v>485223</v>
      </c>
      <c r="W127" s="158">
        <f>IF(ISERR(V127/P127),"-",V127/P127)</f>
        <v>5.6876289384846214E-2</v>
      </c>
      <c r="X127" s="199"/>
    </row>
    <row r="128" spans="1:24" ht="15.75" hidden="1" outlineLevel="1" x14ac:dyDescent="0.3">
      <c r="A128" s="28"/>
      <c r="B128" s="28"/>
      <c r="C128" s="14"/>
      <c r="D128" s="63" t="s">
        <v>45</v>
      </c>
      <c r="E128" s="64"/>
      <c r="F128" s="121">
        <f>F127-1</f>
        <v>81</v>
      </c>
      <c r="G128" s="66"/>
      <c r="H128" s="151"/>
      <c r="I128" s="68"/>
      <c r="J128" s="76"/>
      <c r="K128" s="153"/>
      <c r="L128" s="153"/>
      <c r="M128" s="68"/>
      <c r="N128" s="68"/>
      <c r="O128" s="68"/>
      <c r="P128" s="68"/>
      <c r="Q128" s="124"/>
      <c r="R128" s="123"/>
      <c r="S128" s="89"/>
      <c r="T128" s="90"/>
      <c r="U128" s="138"/>
      <c r="V128" s="126"/>
      <c r="W128" s="158"/>
      <c r="X128" s="199"/>
    </row>
    <row r="129" spans="1:24" ht="15.75" hidden="1" outlineLevel="1" x14ac:dyDescent="0.3">
      <c r="A129" s="28" t="s">
        <v>202</v>
      </c>
      <c r="B129" s="28" t="s">
        <v>140</v>
      </c>
      <c r="C129" s="14"/>
      <c r="D129" s="200"/>
      <c r="E129" s="141"/>
      <c r="F129" s="14"/>
      <c r="G129" s="66"/>
      <c r="H129" s="172"/>
      <c r="I129" s="85"/>
      <c r="J129" s="86">
        <f>I129-H129</f>
        <v>0</v>
      </c>
      <c r="K129" s="154"/>
      <c r="L129" s="154"/>
      <c r="M129" s="77">
        <f>K129+L129</f>
        <v>0</v>
      </c>
      <c r="N129" s="77"/>
      <c r="O129" s="77"/>
      <c r="P129" s="77">
        <f>M129+N129+O129</f>
        <v>0</v>
      </c>
      <c r="Q129" s="166">
        <f>41357.62+21528.61</f>
        <v>62886.23</v>
      </c>
      <c r="R129" s="168">
        <f>332600-Q129</f>
        <v>269713.77</v>
      </c>
      <c r="S129" s="89">
        <f t="shared" ref="S129:S131" si="85">SUM(Q129:R129)</f>
        <v>332600</v>
      </c>
      <c r="T129" s="90">
        <f>IF(ISERR(Q129/S129),"-",Q129/S129)</f>
        <v>0.18907465423932654</v>
      </c>
      <c r="U129" s="138">
        <f>S129-I129</f>
        <v>332600</v>
      </c>
      <c r="V129" s="91">
        <f t="shared" si="84"/>
        <v>-332600</v>
      </c>
      <c r="W129" s="158" t="str">
        <f>IF(ISERR(V129/P129),"-",V129/P129)</f>
        <v>-</v>
      </c>
      <c r="X129" s="199"/>
    </row>
    <row r="130" spans="1:24" ht="15.75" hidden="1" outlineLevel="1" x14ac:dyDescent="0.3">
      <c r="A130" s="28" t="s">
        <v>203</v>
      </c>
      <c r="B130" s="28" t="s">
        <v>64</v>
      </c>
      <c r="C130" s="14"/>
      <c r="D130" s="201"/>
      <c r="E130" s="120"/>
      <c r="F130" s="121"/>
      <c r="G130" s="122"/>
      <c r="H130" s="172">
        <f>3535300+114053+47400+94508+625600</f>
        <v>4416861</v>
      </c>
      <c r="I130" s="85">
        <f>4416861-1011340-200000-50000-71000-90000-95000-75000</f>
        <v>2824521</v>
      </c>
      <c r="J130" s="86">
        <f>I130-H130</f>
        <v>-1592340</v>
      </c>
      <c r="K130" s="154"/>
      <c r="L130" s="154"/>
      <c r="M130" s="77">
        <f>K130+L130</f>
        <v>0</v>
      </c>
      <c r="N130" s="77">
        <v>4416861</v>
      </c>
      <c r="O130" s="77">
        <v>-1592340</v>
      </c>
      <c r="P130" s="77">
        <f>M130+N130+O130</f>
        <v>2824521</v>
      </c>
      <c r="Q130" s="166">
        <v>250082.88</v>
      </c>
      <c r="R130" s="168">
        <f>1853072-Q130</f>
        <v>1602989.12</v>
      </c>
      <c r="S130" s="89">
        <f t="shared" si="85"/>
        <v>1853072</v>
      </c>
      <c r="T130" s="90">
        <f>IF(ISERR(Q130/S130),"-",Q130/S130)</f>
        <v>0.13495583549910636</v>
      </c>
      <c r="U130" s="138">
        <f>S130-I130</f>
        <v>-971449</v>
      </c>
      <c r="V130" s="91">
        <f t="shared" si="84"/>
        <v>971449</v>
      </c>
      <c r="W130" s="158">
        <f>IF(ISERR(V130/P130),"-",V130/P130)</f>
        <v>0.34393406882087263</v>
      </c>
      <c r="X130" s="199"/>
    </row>
    <row r="131" spans="1:24" ht="15.75" hidden="1" outlineLevel="1" x14ac:dyDescent="0.3">
      <c r="A131" s="28" t="s">
        <v>204</v>
      </c>
      <c r="B131" s="28" t="s">
        <v>205</v>
      </c>
      <c r="C131" s="14"/>
      <c r="D131" s="201"/>
      <c r="E131" s="120"/>
      <c r="F131" s="121"/>
      <c r="G131" s="122"/>
      <c r="H131" s="202">
        <v>155700</v>
      </c>
      <c r="I131" s="85">
        <v>155700</v>
      </c>
      <c r="J131" s="86">
        <f t="shared" ref="J131" si="86">I131-H131</f>
        <v>0</v>
      </c>
      <c r="K131" s="154"/>
      <c r="L131" s="154"/>
      <c r="M131" s="77">
        <f>K131+L131</f>
        <v>0</v>
      </c>
      <c r="N131" s="77">
        <v>155700</v>
      </c>
      <c r="O131" s="77"/>
      <c r="P131" s="77">
        <f>M131+N131+O131</f>
        <v>155700</v>
      </c>
      <c r="Q131" s="166">
        <v>4713.17</v>
      </c>
      <c r="R131" s="167">
        <f>P131-Q131-109508</f>
        <v>41478.829999999987</v>
      </c>
      <c r="S131" s="89">
        <f t="shared" si="85"/>
        <v>46191.999999999985</v>
      </c>
      <c r="T131" s="90">
        <f>IF(ISERR(Q131/S131),"-",Q131/S131)</f>
        <v>0.10203433494977489</v>
      </c>
      <c r="U131" s="138"/>
      <c r="V131" s="91">
        <f t="shared" si="84"/>
        <v>109508.00000000001</v>
      </c>
      <c r="W131" s="158">
        <f>IF(ISERR(V131/P131),"-",V131/P131)</f>
        <v>0.70332691072575471</v>
      </c>
      <c r="X131" s="199"/>
    </row>
    <row r="132" spans="1:24" ht="15.75" hidden="1" outlineLevel="1" x14ac:dyDescent="0.3">
      <c r="A132" s="1" t="s">
        <v>206</v>
      </c>
      <c r="B132" s="6"/>
      <c r="C132" s="14"/>
      <c r="D132" s="201"/>
      <c r="E132" s="145">
        <f>E127</f>
        <v>0</v>
      </c>
      <c r="F132" s="203">
        <f>F128</f>
        <v>81</v>
      </c>
      <c r="G132" s="110">
        <f>G127</f>
        <v>-82</v>
      </c>
      <c r="H132" s="113">
        <f t="shared" ref="H132:T132" si="87">SUM(H127:H131)</f>
        <v>13103761</v>
      </c>
      <c r="I132" s="113">
        <f t="shared" si="87"/>
        <v>11511421</v>
      </c>
      <c r="J132" s="113">
        <f t="shared" si="87"/>
        <v>-1592340</v>
      </c>
      <c r="K132" s="113">
        <f t="shared" si="87"/>
        <v>0</v>
      </c>
      <c r="L132" s="113">
        <f t="shared" si="87"/>
        <v>0</v>
      </c>
      <c r="M132" s="113">
        <f t="shared" si="87"/>
        <v>0</v>
      </c>
      <c r="N132" s="113">
        <f t="shared" si="87"/>
        <v>13103761</v>
      </c>
      <c r="O132" s="165">
        <f t="shared" si="87"/>
        <v>-1592340</v>
      </c>
      <c r="P132" s="113">
        <f t="shared" si="87"/>
        <v>11511421</v>
      </c>
      <c r="Q132" s="115">
        <f t="shared" si="87"/>
        <v>1398344.29</v>
      </c>
      <c r="R132" s="113">
        <f t="shared" si="87"/>
        <v>8879496.709999999</v>
      </c>
      <c r="S132" s="113">
        <f t="shared" si="87"/>
        <v>10277841</v>
      </c>
      <c r="T132" s="113">
        <f t="shared" si="87"/>
        <v>0.56037567469436611</v>
      </c>
      <c r="U132" s="147">
        <f>SUM(U127:U130)</f>
        <v>-1124072</v>
      </c>
      <c r="V132" s="117">
        <f>SUM(V127:V131)</f>
        <v>1233580</v>
      </c>
      <c r="W132" s="118">
        <f>IF(ISERR(V132/P132),"-",V132/P132)</f>
        <v>0.10716140083835002</v>
      </c>
      <c r="X132" s="115"/>
    </row>
    <row r="133" spans="1:24" ht="15.75" hidden="1" outlineLevel="1" x14ac:dyDescent="0.3">
      <c r="A133" s="6"/>
      <c r="B133" s="6"/>
      <c r="C133" s="14"/>
      <c r="D133" s="14"/>
      <c r="E133" s="120"/>
      <c r="F133" s="121"/>
      <c r="G133" s="122"/>
      <c r="H133" s="120"/>
      <c r="I133" s="14"/>
      <c r="J133" s="14"/>
      <c r="K133" s="14"/>
      <c r="L133" s="14"/>
      <c r="M133" s="14"/>
      <c r="N133" s="14"/>
      <c r="O133" s="14"/>
      <c r="P133" s="14"/>
      <c r="Q133" s="55"/>
      <c r="R133" s="14"/>
      <c r="S133" s="14"/>
      <c r="T133" s="14"/>
      <c r="U133" s="204"/>
      <c r="V133" s="134"/>
      <c r="W133" s="135"/>
      <c r="X133" s="106"/>
    </row>
    <row r="134" spans="1:24" ht="15.75" collapsed="1" x14ac:dyDescent="0.3">
      <c r="A134" s="184" t="s">
        <v>207</v>
      </c>
      <c r="B134" s="6"/>
      <c r="C134" s="14"/>
      <c r="D134" s="14"/>
      <c r="E134" s="145">
        <f t="shared" ref="E134:S134" si="88">E124+E132</f>
        <v>0</v>
      </c>
      <c r="F134" s="203">
        <f t="shared" si="88"/>
        <v>81</v>
      </c>
      <c r="G134" s="110">
        <f t="shared" si="88"/>
        <v>-82</v>
      </c>
      <c r="H134" s="113">
        <f t="shared" si="88"/>
        <v>13163761</v>
      </c>
      <c r="I134" s="113">
        <f t="shared" si="88"/>
        <v>11692421</v>
      </c>
      <c r="J134" s="146">
        <f t="shared" si="88"/>
        <v>-1471340</v>
      </c>
      <c r="K134" s="113">
        <f t="shared" si="88"/>
        <v>0</v>
      </c>
      <c r="L134" s="113">
        <f t="shared" si="88"/>
        <v>0</v>
      </c>
      <c r="M134" s="113">
        <f t="shared" si="88"/>
        <v>0</v>
      </c>
      <c r="N134" s="113">
        <f t="shared" si="88"/>
        <v>13163761</v>
      </c>
      <c r="O134" s="165">
        <f t="shared" si="88"/>
        <v>-1471340</v>
      </c>
      <c r="P134" s="113">
        <f t="shared" si="88"/>
        <v>11692421</v>
      </c>
      <c r="Q134" s="115">
        <f t="shared" si="88"/>
        <v>1408805.6300000001</v>
      </c>
      <c r="R134" s="113">
        <f t="shared" si="88"/>
        <v>9035035.3699999992</v>
      </c>
      <c r="S134" s="113">
        <f t="shared" si="88"/>
        <v>10443841</v>
      </c>
      <c r="T134" s="116">
        <f>IF(ISERR(Q134/S134),"-",Q134/S134)</f>
        <v>0.13489343910923196</v>
      </c>
      <c r="U134" s="147">
        <f>U124+U132</f>
        <v>-1139072</v>
      </c>
      <c r="V134" s="117">
        <f>V124+V132</f>
        <v>1248580</v>
      </c>
      <c r="W134" s="118">
        <f>IF(ISERR(V134/P134),"-",V134/P134)</f>
        <v>0.10678541253346933</v>
      </c>
      <c r="X134" s="119"/>
    </row>
    <row r="135" spans="1:24" ht="15.75" x14ac:dyDescent="0.3">
      <c r="A135" s="6"/>
      <c r="B135" s="6"/>
      <c r="C135" s="14"/>
      <c r="D135" s="14"/>
      <c r="E135" s="120"/>
      <c r="F135" s="121"/>
      <c r="G135" s="205"/>
      <c r="H135" s="120"/>
      <c r="I135" s="14"/>
      <c r="J135" s="14"/>
      <c r="K135" s="14"/>
      <c r="L135" s="14"/>
      <c r="M135" s="14"/>
      <c r="N135" s="14"/>
      <c r="O135" s="14"/>
      <c r="P135" s="14"/>
      <c r="Q135" s="55"/>
      <c r="R135" s="14"/>
      <c r="S135" s="14"/>
      <c r="T135" s="14"/>
      <c r="U135" s="61"/>
      <c r="V135" s="134"/>
      <c r="W135" s="135"/>
      <c r="X135" s="106"/>
    </row>
    <row r="136" spans="1:24" ht="15.75" x14ac:dyDescent="0.3">
      <c r="A136" s="6"/>
      <c r="B136" s="6"/>
      <c r="C136" s="14"/>
      <c r="D136" s="14"/>
      <c r="E136" s="120"/>
      <c r="F136" s="121"/>
      <c r="G136" s="122"/>
      <c r="H136" s="120"/>
      <c r="I136" s="131"/>
      <c r="J136" s="131"/>
      <c r="K136" s="206"/>
      <c r="L136" s="206"/>
      <c r="M136" s="206"/>
      <c r="N136" s="206"/>
      <c r="O136" s="206"/>
      <c r="P136" s="206"/>
      <c r="Q136" s="207"/>
      <c r="R136" s="206"/>
      <c r="S136" s="206"/>
      <c r="T136" s="206"/>
      <c r="U136" s="208"/>
      <c r="V136" s="134"/>
      <c r="W136" s="135"/>
      <c r="X136" s="106"/>
    </row>
    <row r="137" spans="1:24" ht="15.75" hidden="1" outlineLevel="1" x14ac:dyDescent="0.3">
      <c r="A137" s="197" t="s">
        <v>208</v>
      </c>
      <c r="B137" s="6"/>
      <c r="C137" s="14"/>
      <c r="D137" s="14"/>
      <c r="E137" s="120"/>
      <c r="F137" s="121"/>
      <c r="G137" s="122"/>
      <c r="H137" s="120"/>
      <c r="I137" s="14"/>
      <c r="J137" s="14"/>
      <c r="K137" s="14"/>
      <c r="L137" s="14"/>
      <c r="M137" s="14"/>
      <c r="N137" s="14"/>
      <c r="O137" s="14"/>
      <c r="P137" s="14"/>
      <c r="Q137" s="55"/>
      <c r="R137" s="14"/>
      <c r="S137" s="14"/>
      <c r="T137" s="14"/>
      <c r="U137" s="61"/>
      <c r="V137" s="134"/>
      <c r="W137" s="135"/>
      <c r="X137" s="106"/>
    </row>
    <row r="138" spans="1:24" ht="15.75" hidden="1" outlineLevel="1" x14ac:dyDescent="0.3">
      <c r="A138" s="159" t="s">
        <v>209</v>
      </c>
      <c r="B138" s="159" t="s">
        <v>210</v>
      </c>
      <c r="C138" s="14"/>
      <c r="D138" s="14"/>
      <c r="E138" s="120"/>
      <c r="F138" s="121"/>
      <c r="G138" s="122"/>
      <c r="H138" s="172">
        <v>100</v>
      </c>
      <c r="I138" s="14">
        <v>100</v>
      </c>
      <c r="J138" s="76">
        <f t="shared" ref="J138:J139" si="89">I138-H138</f>
        <v>0</v>
      </c>
      <c r="K138" s="14"/>
      <c r="L138" s="14"/>
      <c r="M138" s="68">
        <f>K138+L138</f>
        <v>0</v>
      </c>
      <c r="N138" s="68">
        <v>100</v>
      </c>
      <c r="O138" s="68"/>
      <c r="P138" s="68">
        <f>M138+N138+O138</f>
        <v>100</v>
      </c>
      <c r="Q138" s="209">
        <v>150.84</v>
      </c>
      <c r="R138" s="210">
        <f>P138-Q138</f>
        <v>-50.84</v>
      </c>
      <c r="S138" s="198">
        <f>SUM(Q138:R138)</f>
        <v>100</v>
      </c>
      <c r="T138" s="90">
        <f t="shared" ref="T138:T154" si="90">IF(ISERR(Q138/S138),"-",Q138/S138)</f>
        <v>1.5084</v>
      </c>
      <c r="U138" s="138">
        <f t="shared" ref="U138:U154" si="91">S138-I138</f>
        <v>0</v>
      </c>
      <c r="V138" s="126">
        <f t="shared" ref="V138:V154" si="92">P138-S138</f>
        <v>0</v>
      </c>
      <c r="W138" s="158">
        <f t="shared" ref="W138:W155" si="93">IF(ISERR(V138/P138),"-",V138/P138)</f>
        <v>0</v>
      </c>
      <c r="X138" s="106"/>
    </row>
    <row r="139" spans="1:24" ht="15.75" hidden="1" outlineLevel="1" x14ac:dyDescent="0.3">
      <c r="A139" s="159" t="s">
        <v>211</v>
      </c>
      <c r="B139" s="159" t="s">
        <v>212</v>
      </c>
      <c r="C139" s="14"/>
      <c r="D139" s="14"/>
      <c r="E139" s="120"/>
      <c r="F139" s="121"/>
      <c r="G139" s="122"/>
      <c r="H139" s="172"/>
      <c r="I139" s="14"/>
      <c r="J139" s="76">
        <f t="shared" si="89"/>
        <v>0</v>
      </c>
      <c r="K139" s="14"/>
      <c r="L139" s="14"/>
      <c r="M139" s="77">
        <f>K139+L139</f>
        <v>0</v>
      </c>
      <c r="N139" s="77"/>
      <c r="O139" s="77"/>
      <c r="P139" s="77">
        <f>M139+N139+O139</f>
        <v>0</v>
      </c>
      <c r="Q139" s="55"/>
      <c r="R139" s="210"/>
      <c r="S139" s="89">
        <f t="shared" ref="S139:S154" si="94">SUM(Q139:R139)</f>
        <v>0</v>
      </c>
      <c r="T139" s="90" t="str">
        <f t="shared" si="90"/>
        <v>-</v>
      </c>
      <c r="U139" s="138">
        <f t="shared" si="91"/>
        <v>0</v>
      </c>
      <c r="V139" s="91">
        <f t="shared" si="92"/>
        <v>0</v>
      </c>
      <c r="W139" s="158" t="str">
        <f t="shared" si="93"/>
        <v>-</v>
      </c>
      <c r="X139" s="106"/>
    </row>
    <row r="140" spans="1:24" ht="15.75" hidden="1" outlineLevel="1" x14ac:dyDescent="0.3">
      <c r="A140" s="159" t="s">
        <v>213</v>
      </c>
      <c r="B140" s="159" t="s">
        <v>214</v>
      </c>
      <c r="C140" s="79"/>
      <c r="D140" s="79"/>
      <c r="E140" s="211"/>
      <c r="F140" s="212"/>
      <c r="G140" s="213"/>
      <c r="H140" s="151"/>
      <c r="I140" s="68"/>
      <c r="J140" s="76">
        <f>I140-H140</f>
        <v>0</v>
      </c>
      <c r="K140" s="153"/>
      <c r="L140" s="153"/>
      <c r="M140" s="77">
        <f t="shared" ref="M140:M154" si="95">K140+L140</f>
        <v>0</v>
      </c>
      <c r="N140" s="77"/>
      <c r="O140" s="77"/>
      <c r="P140" s="77">
        <f t="shared" ref="P140:P154" si="96">M140+N140+O140</f>
        <v>0</v>
      </c>
      <c r="Q140" s="214">
        <f>99433.37+16114.82</f>
        <v>115548.19</v>
      </c>
      <c r="R140" s="210">
        <f>P140-Q140</f>
        <v>-115548.19</v>
      </c>
      <c r="S140" s="89">
        <f t="shared" si="94"/>
        <v>0</v>
      </c>
      <c r="T140" s="90" t="str">
        <f t="shared" si="90"/>
        <v>-</v>
      </c>
      <c r="U140" s="138">
        <f t="shared" si="91"/>
        <v>0</v>
      </c>
      <c r="V140" s="91">
        <f t="shared" si="92"/>
        <v>0</v>
      </c>
      <c r="W140" s="158" t="str">
        <f t="shared" si="93"/>
        <v>-</v>
      </c>
      <c r="X140" s="106"/>
    </row>
    <row r="141" spans="1:24" ht="15.75" hidden="1" outlineLevel="1" x14ac:dyDescent="0.3">
      <c r="A141" s="159" t="s">
        <v>215</v>
      </c>
      <c r="B141" s="159" t="s">
        <v>216</v>
      </c>
      <c r="C141" s="14"/>
      <c r="D141" s="14"/>
      <c r="E141" s="120"/>
      <c r="F141" s="121"/>
      <c r="G141" s="122"/>
      <c r="H141" s="151">
        <v>4049400</v>
      </c>
      <c r="I141" s="85">
        <v>4049400</v>
      </c>
      <c r="J141" s="86">
        <f>I141-H141</f>
        <v>0</v>
      </c>
      <c r="K141" s="154"/>
      <c r="L141" s="154"/>
      <c r="M141" s="77">
        <f t="shared" si="95"/>
        <v>0</v>
      </c>
      <c r="N141" s="77">
        <v>4049400</v>
      </c>
      <c r="O141" s="77"/>
      <c r="P141" s="77">
        <f t="shared" si="96"/>
        <v>4049400</v>
      </c>
      <c r="Q141" s="166">
        <f>-161.96+93892.18+736160.5</f>
        <v>829890.72</v>
      </c>
      <c r="R141" s="168">
        <f>3548500-Q141</f>
        <v>2718609.2800000003</v>
      </c>
      <c r="S141" s="89">
        <f t="shared" si="94"/>
        <v>3548500</v>
      </c>
      <c r="T141" s="90">
        <f t="shared" si="90"/>
        <v>0.23387085247287587</v>
      </c>
      <c r="U141" s="138">
        <f t="shared" si="91"/>
        <v>-500900</v>
      </c>
      <c r="V141" s="91">
        <f t="shared" si="92"/>
        <v>500900</v>
      </c>
      <c r="W141" s="158">
        <f t="shared" si="93"/>
        <v>0.12369733787721637</v>
      </c>
      <c r="X141" s="143"/>
    </row>
    <row r="142" spans="1:24" ht="15.75" hidden="1" outlineLevel="1" x14ac:dyDescent="0.3">
      <c r="A142" s="159" t="s">
        <v>217</v>
      </c>
      <c r="B142" s="159" t="s">
        <v>140</v>
      </c>
      <c r="C142" s="14"/>
      <c r="D142" s="14"/>
      <c r="E142" s="120"/>
      <c r="F142" s="121"/>
      <c r="G142" s="122"/>
      <c r="H142" s="151"/>
      <c r="I142" s="85"/>
      <c r="J142" s="86">
        <f>I142-H142</f>
        <v>0</v>
      </c>
      <c r="K142" s="154"/>
      <c r="L142" s="154"/>
      <c r="M142" s="77">
        <f t="shared" si="95"/>
        <v>0</v>
      </c>
      <c r="N142" s="77"/>
      <c r="O142" s="77"/>
      <c r="P142" s="77">
        <f t="shared" si="96"/>
        <v>0</v>
      </c>
      <c r="Q142" s="166"/>
      <c r="R142" s="167"/>
      <c r="S142" s="89">
        <f t="shared" si="94"/>
        <v>0</v>
      </c>
      <c r="T142" s="90" t="str">
        <f t="shared" si="90"/>
        <v>-</v>
      </c>
      <c r="U142" s="138">
        <f t="shared" si="91"/>
        <v>0</v>
      </c>
      <c r="V142" s="91">
        <f t="shared" si="92"/>
        <v>0</v>
      </c>
      <c r="W142" s="158" t="str">
        <f t="shared" si="93"/>
        <v>-</v>
      </c>
      <c r="X142" s="143"/>
    </row>
    <row r="143" spans="1:24" ht="15.75" hidden="1" outlineLevel="1" x14ac:dyDescent="0.3">
      <c r="A143" s="159" t="s">
        <v>218</v>
      </c>
      <c r="B143" s="159" t="s">
        <v>219</v>
      </c>
      <c r="C143" s="14"/>
      <c r="D143" s="14"/>
      <c r="E143" s="120"/>
      <c r="F143" s="121"/>
      <c r="G143" s="122"/>
      <c r="H143" s="151"/>
      <c r="I143" s="85"/>
      <c r="J143" s="86">
        <f>I143-H143</f>
        <v>0</v>
      </c>
      <c r="K143" s="154"/>
      <c r="L143" s="154"/>
      <c r="M143" s="77">
        <f t="shared" si="95"/>
        <v>0</v>
      </c>
      <c r="N143" s="77"/>
      <c r="O143" s="77"/>
      <c r="P143" s="77">
        <f t="shared" si="96"/>
        <v>0</v>
      </c>
      <c r="Q143" s="166">
        <f>180662.37+97942.45</f>
        <v>278604.82</v>
      </c>
      <c r="R143" s="168">
        <f>1013000-Q143</f>
        <v>734395.17999999993</v>
      </c>
      <c r="S143" s="89">
        <f t="shared" si="94"/>
        <v>1013000</v>
      </c>
      <c r="T143" s="90">
        <f t="shared" si="90"/>
        <v>0.2750294373149062</v>
      </c>
      <c r="U143" s="138">
        <f t="shared" si="91"/>
        <v>1013000</v>
      </c>
      <c r="V143" s="91">
        <f t="shared" si="92"/>
        <v>-1013000</v>
      </c>
      <c r="W143" s="158" t="str">
        <f t="shared" si="93"/>
        <v>-</v>
      </c>
      <c r="X143" s="143"/>
    </row>
    <row r="144" spans="1:24" ht="15.75" hidden="1" outlineLevel="1" x14ac:dyDescent="0.3">
      <c r="A144" s="28" t="s">
        <v>220</v>
      </c>
      <c r="B144" s="28" t="s">
        <v>221</v>
      </c>
      <c r="C144" s="14"/>
      <c r="D144" s="14"/>
      <c r="E144" s="120"/>
      <c r="F144" s="121"/>
      <c r="G144" s="122"/>
      <c r="H144" s="151"/>
      <c r="I144" s="85"/>
      <c r="J144" s="86">
        <f t="shared" ref="J144:J145" si="97">I144-H144</f>
        <v>0</v>
      </c>
      <c r="K144" s="154"/>
      <c r="L144" s="154"/>
      <c r="M144" s="77">
        <f t="shared" si="95"/>
        <v>0</v>
      </c>
      <c r="N144" s="77"/>
      <c r="O144" s="77"/>
      <c r="P144" s="77">
        <f t="shared" si="96"/>
        <v>0</v>
      </c>
      <c r="Q144" s="166"/>
      <c r="R144" s="167"/>
      <c r="S144" s="89">
        <f t="shared" si="94"/>
        <v>0</v>
      </c>
      <c r="T144" s="90" t="str">
        <f t="shared" si="90"/>
        <v>-</v>
      </c>
      <c r="U144" s="138">
        <f t="shared" si="91"/>
        <v>0</v>
      </c>
      <c r="V144" s="91">
        <f t="shared" si="92"/>
        <v>0</v>
      </c>
      <c r="W144" s="158" t="str">
        <f t="shared" si="93"/>
        <v>-</v>
      </c>
      <c r="X144" s="143"/>
    </row>
    <row r="145" spans="1:24" ht="15.75" hidden="1" outlineLevel="1" x14ac:dyDescent="0.3">
      <c r="A145" s="28" t="s">
        <v>222</v>
      </c>
      <c r="B145" s="28" t="s">
        <v>223</v>
      </c>
      <c r="C145" s="14"/>
      <c r="D145" s="14"/>
      <c r="E145" s="120"/>
      <c r="F145" s="121"/>
      <c r="G145" s="122"/>
      <c r="H145" s="151"/>
      <c r="I145" s="85"/>
      <c r="J145" s="86">
        <f t="shared" si="97"/>
        <v>0</v>
      </c>
      <c r="K145" s="154"/>
      <c r="L145" s="154"/>
      <c r="M145" s="77">
        <f t="shared" si="95"/>
        <v>0</v>
      </c>
      <c r="N145" s="77"/>
      <c r="O145" s="77"/>
      <c r="P145" s="77">
        <f t="shared" si="96"/>
        <v>0</v>
      </c>
      <c r="Q145" s="166"/>
      <c r="R145" s="167"/>
      <c r="S145" s="89">
        <f t="shared" si="94"/>
        <v>0</v>
      </c>
      <c r="T145" s="90" t="str">
        <f t="shared" si="90"/>
        <v>-</v>
      </c>
      <c r="U145" s="138">
        <f t="shared" si="91"/>
        <v>0</v>
      </c>
      <c r="V145" s="91">
        <f t="shared" si="92"/>
        <v>0</v>
      </c>
      <c r="W145" s="158" t="str">
        <f t="shared" si="93"/>
        <v>-</v>
      </c>
      <c r="X145" s="143"/>
    </row>
    <row r="146" spans="1:24" ht="15.75" hidden="1" outlineLevel="1" x14ac:dyDescent="0.3">
      <c r="A146" s="28" t="s">
        <v>224</v>
      </c>
      <c r="B146" s="28" t="s">
        <v>225</v>
      </c>
      <c r="C146" s="14"/>
      <c r="D146" s="14"/>
      <c r="E146" s="120"/>
      <c r="F146" s="121"/>
      <c r="G146" s="122"/>
      <c r="H146" s="152">
        <v>122100</v>
      </c>
      <c r="I146" s="85">
        <f>122100+90000</f>
        <v>212100</v>
      </c>
      <c r="J146" s="86">
        <f>I146-H146</f>
        <v>90000</v>
      </c>
      <c r="K146" s="154"/>
      <c r="L146" s="154"/>
      <c r="M146" s="77">
        <f t="shared" si="95"/>
        <v>0</v>
      </c>
      <c r="N146" s="77">
        <v>122100</v>
      </c>
      <c r="O146" s="77">
        <v>90000</v>
      </c>
      <c r="P146" s="77">
        <f t="shared" si="96"/>
        <v>212100</v>
      </c>
      <c r="Q146" s="166"/>
      <c r="R146" s="167">
        <f>P146-Q146</f>
        <v>212100</v>
      </c>
      <c r="S146" s="89">
        <f t="shared" si="94"/>
        <v>212100</v>
      </c>
      <c r="T146" s="90">
        <f t="shared" si="90"/>
        <v>0</v>
      </c>
      <c r="U146" s="138">
        <f t="shared" si="91"/>
        <v>0</v>
      </c>
      <c r="V146" s="91">
        <f t="shared" si="92"/>
        <v>0</v>
      </c>
      <c r="W146" s="158">
        <f t="shared" si="93"/>
        <v>0</v>
      </c>
      <c r="X146" s="143"/>
    </row>
    <row r="147" spans="1:24" ht="15.75" hidden="1" outlineLevel="1" x14ac:dyDescent="0.3">
      <c r="A147" s="159" t="s">
        <v>226</v>
      </c>
      <c r="B147" s="159" t="s">
        <v>227</v>
      </c>
      <c r="C147" s="79"/>
      <c r="D147" s="79"/>
      <c r="E147" s="211"/>
      <c r="F147" s="212"/>
      <c r="G147" s="213"/>
      <c r="H147" s="152">
        <v>13831500</v>
      </c>
      <c r="I147" s="85">
        <v>13831500</v>
      </c>
      <c r="J147" s="86">
        <f>I147-H147</f>
        <v>0</v>
      </c>
      <c r="K147" s="215"/>
      <c r="L147" s="215"/>
      <c r="M147" s="77">
        <f>K147+L147</f>
        <v>0</v>
      </c>
      <c r="N147" s="77">
        <v>13831500</v>
      </c>
      <c r="O147" s="77"/>
      <c r="P147" s="77">
        <f>M147+N147+O147</f>
        <v>13831500</v>
      </c>
      <c r="Q147" s="214">
        <v>-261.60000000000002</v>
      </c>
      <c r="R147" s="216">
        <f>13694000-Q147</f>
        <v>13694261.6</v>
      </c>
      <c r="S147" s="89">
        <f t="shared" si="94"/>
        <v>13694000</v>
      </c>
      <c r="T147" s="90">
        <f>IF(ISERR(Q147/S147),"-",Q147/S147)</f>
        <v>-1.9103256900832482E-5</v>
      </c>
      <c r="U147" s="138">
        <f>S147-I147</f>
        <v>-137500</v>
      </c>
      <c r="V147" s="91">
        <f>P147-S147</f>
        <v>137500</v>
      </c>
      <c r="W147" s="158">
        <f t="shared" si="93"/>
        <v>9.9410765282145833E-3</v>
      </c>
      <c r="X147" s="106"/>
    </row>
    <row r="148" spans="1:24" ht="15.75" hidden="1" outlineLevel="1" x14ac:dyDescent="0.3">
      <c r="A148" s="28" t="s">
        <v>228</v>
      </c>
      <c r="B148" s="28" t="s">
        <v>229</v>
      </c>
      <c r="C148" s="14"/>
      <c r="D148" s="14"/>
      <c r="E148" s="120"/>
      <c r="F148" s="121"/>
      <c r="G148" s="122"/>
      <c r="H148" s="152">
        <v>2858700</v>
      </c>
      <c r="I148" s="85">
        <v>2858700</v>
      </c>
      <c r="J148" s="86">
        <f t="shared" ref="J148:J154" si="98">I148-H148</f>
        <v>0</v>
      </c>
      <c r="K148" s="154"/>
      <c r="L148" s="154"/>
      <c r="M148" s="77">
        <f t="shared" si="95"/>
        <v>0</v>
      </c>
      <c r="N148" s="77">
        <v>2858700</v>
      </c>
      <c r="O148" s="77"/>
      <c r="P148" s="77">
        <f t="shared" si="96"/>
        <v>2858700</v>
      </c>
      <c r="Q148" s="166">
        <v>472717.43</v>
      </c>
      <c r="R148" s="168">
        <f>2922500-Q148</f>
        <v>2449782.5699999998</v>
      </c>
      <c r="S148" s="89">
        <f t="shared" si="94"/>
        <v>2922500</v>
      </c>
      <c r="T148" s="90">
        <f t="shared" si="90"/>
        <v>0.16175104533789564</v>
      </c>
      <c r="U148" s="138">
        <f t="shared" si="91"/>
        <v>63800</v>
      </c>
      <c r="V148" s="91">
        <f t="shared" si="92"/>
        <v>-63800</v>
      </c>
      <c r="W148" s="158">
        <f t="shared" si="93"/>
        <v>-2.231783677895547E-2</v>
      </c>
      <c r="X148" s="106"/>
    </row>
    <row r="149" spans="1:24" ht="15.75" hidden="1" outlineLevel="1" x14ac:dyDescent="0.3">
      <c r="A149" s="159" t="s">
        <v>230</v>
      </c>
      <c r="B149" s="159" t="s">
        <v>231</v>
      </c>
      <c r="C149" s="79"/>
      <c r="D149" s="79"/>
      <c r="E149" s="211"/>
      <c r="F149" s="212"/>
      <c r="G149" s="213"/>
      <c r="H149" s="152">
        <v>4560800</v>
      </c>
      <c r="I149" s="85">
        <v>4560800</v>
      </c>
      <c r="J149" s="86">
        <f t="shared" si="98"/>
        <v>0</v>
      </c>
      <c r="K149" s="215"/>
      <c r="L149" s="215"/>
      <c r="M149" s="77">
        <f t="shared" si="95"/>
        <v>0</v>
      </c>
      <c r="N149" s="77">
        <v>4560800</v>
      </c>
      <c r="O149" s="77"/>
      <c r="P149" s="77">
        <f t="shared" si="96"/>
        <v>4560800</v>
      </c>
      <c r="Q149" s="214">
        <f>-69.06+1053117.66</f>
        <v>1053048.5999999999</v>
      </c>
      <c r="R149" s="216">
        <f>4647000-Q149</f>
        <v>3593951.4000000004</v>
      </c>
      <c r="S149" s="89">
        <f t="shared" si="94"/>
        <v>4647000</v>
      </c>
      <c r="T149" s="90">
        <f t="shared" si="90"/>
        <v>0.22660826339573917</v>
      </c>
      <c r="U149" s="138">
        <f t="shared" si="91"/>
        <v>86200</v>
      </c>
      <c r="V149" s="91">
        <f t="shared" si="92"/>
        <v>-86200</v>
      </c>
      <c r="W149" s="158">
        <f t="shared" si="93"/>
        <v>-1.8900192948605506E-2</v>
      </c>
      <c r="X149" s="106"/>
    </row>
    <row r="150" spans="1:24" ht="15.75" hidden="1" outlineLevel="1" x14ac:dyDescent="0.3">
      <c r="A150" s="159" t="s">
        <v>232</v>
      </c>
      <c r="B150" s="159" t="s">
        <v>233</v>
      </c>
      <c r="C150" s="79"/>
      <c r="D150" s="79"/>
      <c r="E150" s="211"/>
      <c r="F150" s="212"/>
      <c r="G150" s="213"/>
      <c r="H150" s="172">
        <v>155200</v>
      </c>
      <c r="I150" s="85">
        <v>155200</v>
      </c>
      <c r="J150" s="86">
        <f t="shared" si="98"/>
        <v>0</v>
      </c>
      <c r="K150" s="215"/>
      <c r="L150" s="215"/>
      <c r="M150" s="77">
        <f t="shared" si="95"/>
        <v>0</v>
      </c>
      <c r="N150" s="77">
        <v>155200</v>
      </c>
      <c r="O150" s="77"/>
      <c r="P150" s="77">
        <f t="shared" si="96"/>
        <v>155200</v>
      </c>
      <c r="Q150" s="214"/>
      <c r="R150" s="210">
        <f>P150-Q150</f>
        <v>155200</v>
      </c>
      <c r="S150" s="89">
        <f t="shared" si="94"/>
        <v>155200</v>
      </c>
      <c r="T150" s="90">
        <f t="shared" si="90"/>
        <v>0</v>
      </c>
      <c r="U150" s="138">
        <f t="shared" si="91"/>
        <v>0</v>
      </c>
      <c r="V150" s="91">
        <f t="shared" si="92"/>
        <v>0</v>
      </c>
      <c r="W150" s="158">
        <f t="shared" si="93"/>
        <v>0</v>
      </c>
      <c r="X150" s="106"/>
    </row>
    <row r="151" spans="1:24" ht="15.75" hidden="1" outlineLevel="1" x14ac:dyDescent="0.3">
      <c r="A151" s="159" t="s">
        <v>234</v>
      </c>
      <c r="B151" s="159" t="s">
        <v>235</v>
      </c>
      <c r="C151" s="79"/>
      <c r="D151" s="79"/>
      <c r="E151" s="211"/>
      <c r="F151" s="212"/>
      <c r="G151" s="213"/>
      <c r="H151" s="172">
        <v>38600</v>
      </c>
      <c r="I151" s="85">
        <v>38600</v>
      </c>
      <c r="J151" s="86">
        <f t="shared" si="98"/>
        <v>0</v>
      </c>
      <c r="K151" s="215"/>
      <c r="L151" s="215"/>
      <c r="M151" s="77">
        <f t="shared" si="95"/>
        <v>0</v>
      </c>
      <c r="N151" s="77">
        <v>38600</v>
      </c>
      <c r="O151" s="77"/>
      <c r="P151" s="77">
        <f t="shared" si="96"/>
        <v>38600</v>
      </c>
      <c r="Q151" s="214"/>
      <c r="R151" s="210">
        <f>P151-Q151</f>
        <v>38600</v>
      </c>
      <c r="S151" s="89">
        <f t="shared" si="94"/>
        <v>38600</v>
      </c>
      <c r="T151" s="90">
        <f t="shared" si="90"/>
        <v>0</v>
      </c>
      <c r="U151" s="138">
        <f t="shared" si="91"/>
        <v>0</v>
      </c>
      <c r="V151" s="91">
        <f t="shared" si="92"/>
        <v>0</v>
      </c>
      <c r="W151" s="158">
        <f t="shared" si="93"/>
        <v>0</v>
      </c>
      <c r="X151" s="106"/>
    </row>
    <row r="152" spans="1:24" ht="15.75" hidden="1" outlineLevel="1" x14ac:dyDescent="0.3">
      <c r="A152" s="159" t="s">
        <v>236</v>
      </c>
      <c r="B152" s="159" t="s">
        <v>237</v>
      </c>
      <c r="C152" s="79"/>
      <c r="D152" s="79"/>
      <c r="E152" s="211"/>
      <c r="F152" s="212"/>
      <c r="G152" s="213"/>
      <c r="H152" s="172">
        <v>20300</v>
      </c>
      <c r="I152" s="85">
        <v>20300</v>
      </c>
      <c r="J152" s="86">
        <f t="shared" si="98"/>
        <v>0</v>
      </c>
      <c r="K152" s="215"/>
      <c r="L152" s="215"/>
      <c r="M152" s="77">
        <f t="shared" si="95"/>
        <v>0</v>
      </c>
      <c r="N152" s="77">
        <v>20300</v>
      </c>
      <c r="O152" s="77"/>
      <c r="P152" s="77">
        <f t="shared" si="96"/>
        <v>20300</v>
      </c>
      <c r="Q152" s="214">
        <f>480+145</f>
        <v>625</v>
      </c>
      <c r="R152" s="210">
        <f>P152-Q152</f>
        <v>19675</v>
      </c>
      <c r="S152" s="89">
        <f t="shared" si="94"/>
        <v>20300</v>
      </c>
      <c r="T152" s="90">
        <f t="shared" si="90"/>
        <v>3.0788177339901478E-2</v>
      </c>
      <c r="U152" s="138">
        <f t="shared" si="91"/>
        <v>0</v>
      </c>
      <c r="V152" s="91">
        <f t="shared" si="92"/>
        <v>0</v>
      </c>
      <c r="W152" s="158">
        <f t="shared" si="93"/>
        <v>0</v>
      </c>
      <c r="X152" s="106"/>
    </row>
    <row r="153" spans="1:24" ht="15.75" hidden="1" outlineLevel="1" x14ac:dyDescent="0.3">
      <c r="A153" s="28" t="s">
        <v>238</v>
      </c>
      <c r="B153" s="28" t="s">
        <v>239</v>
      </c>
      <c r="C153" s="14"/>
      <c r="D153" s="14"/>
      <c r="E153" s="120"/>
      <c r="F153" s="121"/>
      <c r="G153" s="122"/>
      <c r="H153" s="172">
        <f>3700+61900</f>
        <v>65600</v>
      </c>
      <c r="I153" s="85">
        <v>65600</v>
      </c>
      <c r="J153" s="86">
        <f t="shared" si="98"/>
        <v>0</v>
      </c>
      <c r="K153" s="154"/>
      <c r="L153" s="154"/>
      <c r="M153" s="77">
        <f t="shared" si="95"/>
        <v>0</v>
      </c>
      <c r="N153" s="77">
        <v>65600</v>
      </c>
      <c r="O153" s="77"/>
      <c r="P153" s="77">
        <f t="shared" si="96"/>
        <v>65600</v>
      </c>
      <c r="Q153" s="166">
        <f>3700</f>
        <v>3700</v>
      </c>
      <c r="R153" s="167">
        <f>P153-Q153</f>
        <v>61900</v>
      </c>
      <c r="S153" s="89">
        <f t="shared" si="94"/>
        <v>65600</v>
      </c>
      <c r="T153" s="90">
        <f t="shared" si="90"/>
        <v>5.6402439024390245E-2</v>
      </c>
      <c r="U153" s="138">
        <f t="shared" si="91"/>
        <v>0</v>
      </c>
      <c r="V153" s="91">
        <f t="shared" si="92"/>
        <v>0</v>
      </c>
      <c r="W153" s="158">
        <f t="shared" si="93"/>
        <v>0</v>
      </c>
      <c r="X153" s="106"/>
    </row>
    <row r="154" spans="1:24" ht="15.75" hidden="1" outlineLevel="1" x14ac:dyDescent="0.3">
      <c r="A154" s="28" t="s">
        <v>240</v>
      </c>
      <c r="B154" s="28" t="s">
        <v>241</v>
      </c>
      <c r="C154" s="14"/>
      <c r="D154" s="14"/>
      <c r="E154" s="120"/>
      <c r="F154" s="121"/>
      <c r="G154" s="122"/>
      <c r="H154" s="172"/>
      <c r="I154" s="85"/>
      <c r="J154" s="86">
        <f t="shared" si="98"/>
        <v>0</v>
      </c>
      <c r="K154" s="154"/>
      <c r="L154" s="154"/>
      <c r="M154" s="77">
        <f t="shared" si="95"/>
        <v>0</v>
      </c>
      <c r="N154" s="77"/>
      <c r="O154" s="77"/>
      <c r="P154" s="77">
        <f t="shared" si="96"/>
        <v>0</v>
      </c>
      <c r="Q154" s="166"/>
      <c r="R154" s="167">
        <f>P154-Q154</f>
        <v>0</v>
      </c>
      <c r="S154" s="89">
        <f t="shared" si="94"/>
        <v>0</v>
      </c>
      <c r="T154" s="90" t="str">
        <f t="shared" si="90"/>
        <v>-</v>
      </c>
      <c r="U154" s="138">
        <f t="shared" si="91"/>
        <v>0</v>
      </c>
      <c r="V154" s="91">
        <f t="shared" si="92"/>
        <v>0</v>
      </c>
      <c r="W154" s="158" t="str">
        <f t="shared" si="93"/>
        <v>-</v>
      </c>
      <c r="X154" s="106"/>
    </row>
    <row r="155" spans="1:24" ht="15.75" collapsed="1" x14ac:dyDescent="0.3">
      <c r="A155" s="184" t="s">
        <v>242</v>
      </c>
      <c r="B155" s="6"/>
      <c r="C155" s="14"/>
      <c r="D155" s="14"/>
      <c r="E155" s="145">
        <f>SUM(E140:E153)</f>
        <v>0</v>
      </c>
      <c r="F155" s="203">
        <f>SUM(F140:F153)</f>
        <v>0</v>
      </c>
      <c r="G155" s="110">
        <f>SUM(G140:G153)</f>
        <v>0</v>
      </c>
      <c r="H155" s="115">
        <f t="shared" ref="H155:S155" si="99">SUM(H138:H154)</f>
        <v>25702300</v>
      </c>
      <c r="I155" s="113">
        <f t="shared" si="99"/>
        <v>25792300</v>
      </c>
      <c r="J155" s="113">
        <f t="shared" si="99"/>
        <v>90000</v>
      </c>
      <c r="K155" s="113">
        <f t="shared" si="99"/>
        <v>0</v>
      </c>
      <c r="L155" s="113">
        <f t="shared" si="99"/>
        <v>0</v>
      </c>
      <c r="M155" s="113">
        <f t="shared" si="99"/>
        <v>0</v>
      </c>
      <c r="N155" s="113">
        <f t="shared" si="99"/>
        <v>25702300</v>
      </c>
      <c r="O155" s="114">
        <f t="shared" si="99"/>
        <v>90000</v>
      </c>
      <c r="P155" s="113">
        <f t="shared" si="99"/>
        <v>25792300</v>
      </c>
      <c r="Q155" s="115">
        <f t="shared" si="99"/>
        <v>2754024</v>
      </c>
      <c r="R155" s="113">
        <f t="shared" si="99"/>
        <v>23562876</v>
      </c>
      <c r="S155" s="113">
        <f t="shared" si="99"/>
        <v>26316900</v>
      </c>
      <c r="T155" s="116">
        <f>IF(ISERR(Q155/S155),"-",Q155/S155)</f>
        <v>0.10464849583347582</v>
      </c>
      <c r="U155" s="147">
        <f>SUM(U140:U154)</f>
        <v>524600</v>
      </c>
      <c r="V155" s="117">
        <f>SUM(V140:V154)</f>
        <v>-524600</v>
      </c>
      <c r="W155" s="118">
        <f t="shared" si="93"/>
        <v>-2.033940362046037E-2</v>
      </c>
      <c r="X155" s="119"/>
    </row>
    <row r="156" spans="1:24" ht="15.75" x14ac:dyDescent="0.3">
      <c r="A156" s="28"/>
      <c r="B156" s="28"/>
      <c r="C156" s="14"/>
      <c r="D156" s="14"/>
      <c r="E156" s="120"/>
      <c r="F156" s="121"/>
      <c r="G156" s="122"/>
      <c r="H156" s="185"/>
      <c r="I156" s="217"/>
      <c r="J156" s="217"/>
      <c r="K156" s="217"/>
      <c r="L156" s="217"/>
      <c r="M156" s="217"/>
      <c r="N156" s="217"/>
      <c r="O156" s="217"/>
      <c r="P156" s="217"/>
      <c r="Q156" s="218"/>
      <c r="R156" s="217"/>
      <c r="S156" s="217"/>
      <c r="T156" s="219"/>
      <c r="U156" s="220"/>
      <c r="V156" s="221"/>
      <c r="W156" s="222"/>
      <c r="X156" s="223"/>
    </row>
    <row r="157" spans="1:24" ht="15.75" x14ac:dyDescent="0.3">
      <c r="A157" s="28"/>
      <c r="B157" s="28"/>
      <c r="C157" s="14"/>
      <c r="D157" s="14"/>
      <c r="E157" s="120"/>
      <c r="F157" s="121"/>
      <c r="G157" s="122"/>
      <c r="H157" s="120"/>
      <c r="I157" s="217"/>
      <c r="J157" s="217"/>
      <c r="K157" s="217"/>
      <c r="L157" s="217"/>
      <c r="M157" s="217"/>
      <c r="N157" s="217"/>
      <c r="O157" s="217"/>
      <c r="P157" s="217"/>
      <c r="Q157" s="218"/>
      <c r="R157" s="217"/>
      <c r="S157" s="217"/>
      <c r="T157" s="90"/>
      <c r="U157" s="220"/>
      <c r="V157" s="221"/>
      <c r="W157" s="222"/>
      <c r="X157" s="223"/>
    </row>
    <row r="158" spans="1:24" ht="15.75" hidden="1" outlineLevel="1" x14ac:dyDescent="0.3">
      <c r="A158" s="197" t="s">
        <v>243</v>
      </c>
      <c r="B158" s="28"/>
      <c r="C158" s="14"/>
      <c r="D158" s="14"/>
      <c r="E158" s="120"/>
      <c r="F158" s="121"/>
      <c r="G158" s="122"/>
      <c r="H158" s="120"/>
      <c r="I158" s="217"/>
      <c r="J158" s="217"/>
      <c r="K158" s="217"/>
      <c r="L158" s="217"/>
      <c r="M158" s="217"/>
      <c r="N158" s="217"/>
      <c r="O158" s="217"/>
      <c r="P158" s="217"/>
      <c r="Q158" s="218"/>
      <c r="R158" s="217"/>
      <c r="S158" s="217"/>
      <c r="T158" s="90"/>
      <c r="U158" s="220"/>
      <c r="V158" s="221"/>
      <c r="W158" s="222"/>
      <c r="X158" s="223"/>
    </row>
    <row r="159" spans="1:24" ht="15.75" hidden="1" outlineLevel="1" x14ac:dyDescent="0.3">
      <c r="A159" s="159" t="s">
        <v>244</v>
      </c>
      <c r="B159" s="28" t="s">
        <v>245</v>
      </c>
      <c r="C159" s="14"/>
      <c r="D159" s="14"/>
      <c r="E159" s="120"/>
      <c r="F159" s="121"/>
      <c r="G159" s="66">
        <f t="shared" ref="G159" si="100">E159-F159</f>
        <v>0</v>
      </c>
      <c r="H159" s="151"/>
      <c r="I159" s="217"/>
      <c r="J159" s="86">
        <f t="shared" ref="J159:J160" si="101">I159-H159</f>
        <v>0</v>
      </c>
      <c r="K159" s="217"/>
      <c r="L159" s="217"/>
      <c r="M159" s="68">
        <f>K159+L159</f>
        <v>0</v>
      </c>
      <c r="N159" s="68"/>
      <c r="O159" s="68"/>
      <c r="P159" s="68">
        <f>M159+N159+O159</f>
        <v>0</v>
      </c>
      <c r="Q159" s="166">
        <v>17817.88</v>
      </c>
      <c r="R159" s="210">
        <f>P159-Q159</f>
        <v>-17817.88</v>
      </c>
      <c r="S159" s="89">
        <f>SUM(Q159:R159)</f>
        <v>0</v>
      </c>
      <c r="T159" s="90" t="str">
        <f t="shared" ref="T159:T160" si="102">IF(ISERR(Q159/S159),"-",Q159/S159)</f>
        <v>-</v>
      </c>
      <c r="U159" s="138">
        <f>S159-I159</f>
        <v>0</v>
      </c>
      <c r="V159" s="224">
        <f>P159-S159</f>
        <v>0</v>
      </c>
      <c r="W159" s="158" t="str">
        <f t="shared" ref="W159:W160" si="103">IF(ISERR(V159/P159),"-",V159/P159)</f>
        <v>-</v>
      </c>
      <c r="X159" s="223"/>
    </row>
    <row r="160" spans="1:24" ht="15.75" hidden="1" outlineLevel="1" x14ac:dyDescent="0.3">
      <c r="A160" s="159" t="s">
        <v>246</v>
      </c>
      <c r="B160" s="28" t="s">
        <v>247</v>
      </c>
      <c r="C160" s="14"/>
      <c r="D160" s="14"/>
      <c r="E160" s="120"/>
      <c r="F160" s="121"/>
      <c r="G160" s="122"/>
      <c r="H160" s="172">
        <v>0</v>
      </c>
      <c r="I160" s="85"/>
      <c r="J160" s="86">
        <f t="shared" si="101"/>
        <v>0</v>
      </c>
      <c r="K160" s="77"/>
      <c r="L160" s="217"/>
      <c r="M160" s="77">
        <f>K160+L160</f>
        <v>0</v>
      </c>
      <c r="N160" s="77"/>
      <c r="O160" s="77"/>
      <c r="P160" s="77">
        <f>M160+N160+O160</f>
        <v>0</v>
      </c>
      <c r="Q160" s="166">
        <f>69.78+6974.98+13301.28+457573.43+28815.23</f>
        <v>506734.69999999995</v>
      </c>
      <c r="R160" s="210">
        <f>P160-Q160</f>
        <v>-506734.69999999995</v>
      </c>
      <c r="S160" s="89">
        <f t="shared" ref="S160" si="104">SUM(Q160:R160)</f>
        <v>0</v>
      </c>
      <c r="T160" s="225" t="str">
        <f t="shared" si="102"/>
        <v>-</v>
      </c>
      <c r="U160" s="138">
        <f>S160-I160</f>
        <v>0</v>
      </c>
      <c r="V160" s="224">
        <f t="shared" ref="V160" si="105">P160-S160</f>
        <v>0</v>
      </c>
      <c r="W160" s="158" t="str">
        <f t="shared" si="103"/>
        <v>-</v>
      </c>
      <c r="X160" s="223"/>
    </row>
    <row r="161" spans="1:24" ht="15.75" collapsed="1" x14ac:dyDescent="0.3">
      <c r="A161" s="184" t="s">
        <v>248</v>
      </c>
      <c r="B161" s="28"/>
      <c r="C161" s="14"/>
      <c r="D161" s="14"/>
      <c r="E161" s="145">
        <f>E159</f>
        <v>0</v>
      </c>
      <c r="F161" s="203">
        <f>F159</f>
        <v>0</v>
      </c>
      <c r="G161" s="203">
        <f>G159</f>
        <v>0</v>
      </c>
      <c r="H161" s="115">
        <f t="shared" ref="H161:S161" si="106">SUM(H159:H160)</f>
        <v>0</v>
      </c>
      <c r="I161" s="113">
        <f t="shared" si="106"/>
        <v>0</v>
      </c>
      <c r="J161" s="146">
        <f t="shared" si="106"/>
        <v>0</v>
      </c>
      <c r="K161" s="113">
        <f t="shared" si="106"/>
        <v>0</v>
      </c>
      <c r="L161" s="113">
        <f t="shared" si="106"/>
        <v>0</v>
      </c>
      <c r="M161" s="113">
        <f t="shared" si="106"/>
        <v>0</v>
      </c>
      <c r="N161" s="113">
        <f t="shared" si="106"/>
        <v>0</v>
      </c>
      <c r="O161" s="113">
        <f t="shared" si="106"/>
        <v>0</v>
      </c>
      <c r="P161" s="113">
        <f t="shared" si="106"/>
        <v>0</v>
      </c>
      <c r="Q161" s="115">
        <f t="shared" si="106"/>
        <v>524552.57999999996</v>
      </c>
      <c r="R161" s="113">
        <f t="shared" si="106"/>
        <v>-524552.57999999996</v>
      </c>
      <c r="S161" s="113">
        <f t="shared" si="106"/>
        <v>0</v>
      </c>
      <c r="T161" s="116" t="str">
        <f>IF(ISERR(Q161/S161),"-",Q161/S161)</f>
        <v>-</v>
      </c>
      <c r="U161" s="147">
        <f>SUM(U159:U160)</f>
        <v>0</v>
      </c>
      <c r="V161" s="117">
        <f>SUM(V159:V160)</f>
        <v>0</v>
      </c>
      <c r="W161" s="118" t="str">
        <f>IF(ISERR(V161/P161),"-",V161/P161)</f>
        <v>-</v>
      </c>
      <c r="X161" s="119"/>
    </row>
    <row r="162" spans="1:24" ht="15.75" x14ac:dyDescent="0.3">
      <c r="A162" s="184"/>
      <c r="B162" s="28"/>
      <c r="C162" s="14"/>
      <c r="D162" s="14"/>
      <c r="E162" s="226"/>
      <c r="F162" s="227"/>
      <c r="G162" s="227"/>
      <c r="H162" s="124"/>
      <c r="I162" s="123"/>
      <c r="J162" s="76"/>
      <c r="K162" s="123"/>
      <c r="L162" s="123"/>
      <c r="M162" s="123"/>
      <c r="N162" s="123"/>
      <c r="O162" s="123"/>
      <c r="P162" s="123"/>
      <c r="Q162" s="124"/>
      <c r="R162" s="123"/>
      <c r="S162" s="123"/>
      <c r="T162" s="90"/>
      <c r="U162" s="228"/>
      <c r="V162" s="126"/>
      <c r="W162" s="158"/>
      <c r="X162" s="106"/>
    </row>
    <row r="163" spans="1:24" ht="15.75" x14ac:dyDescent="0.3">
      <c r="A163" s="259" t="s">
        <v>251</v>
      </c>
      <c r="B163" s="28"/>
      <c r="C163" s="14"/>
      <c r="D163" s="14"/>
      <c r="E163" s="226"/>
      <c r="F163" s="227"/>
      <c r="G163" s="227"/>
      <c r="H163" s="123">
        <f>331316935+6216765</f>
        <v>337533700</v>
      </c>
      <c r="I163" s="123">
        <f>331316935+6216765</f>
        <v>337533700</v>
      </c>
      <c r="J163" s="76"/>
      <c r="K163" s="123"/>
      <c r="L163" s="123"/>
      <c r="M163" s="123"/>
      <c r="N163" s="123">
        <f>H163</f>
        <v>337533700</v>
      </c>
      <c r="O163" s="123"/>
      <c r="P163" s="123">
        <f>N163</f>
        <v>337533700</v>
      </c>
      <c r="Q163" s="124"/>
      <c r="R163" s="123"/>
      <c r="S163" s="123"/>
      <c r="T163" s="90"/>
      <c r="U163" s="228"/>
      <c r="V163" s="126"/>
      <c r="W163" s="158"/>
      <c r="X163" s="106"/>
    </row>
    <row r="164" spans="1:24" ht="15.75" x14ac:dyDescent="0.3">
      <c r="A164" s="184"/>
      <c r="B164" s="28"/>
      <c r="C164" s="14"/>
      <c r="D164" s="14"/>
      <c r="E164" s="226"/>
      <c r="F164" s="227"/>
      <c r="G164" s="227"/>
      <c r="H164" s="124"/>
      <c r="I164" s="123"/>
      <c r="J164" s="76"/>
      <c r="K164" s="123"/>
      <c r="L164" s="123"/>
      <c r="M164" s="123"/>
      <c r="N164" s="123"/>
      <c r="O164" s="123"/>
      <c r="P164" s="123"/>
      <c r="Q164" s="124"/>
      <c r="R164" s="123"/>
      <c r="S164" s="123"/>
      <c r="T164" s="90"/>
      <c r="U164" s="228"/>
      <c r="V164" s="126"/>
      <c r="W164" s="158"/>
      <c r="X164" s="106"/>
    </row>
    <row r="165" spans="1:24" ht="15.75" x14ac:dyDescent="0.3">
      <c r="A165" s="184" t="s">
        <v>250</v>
      </c>
      <c r="B165" s="28"/>
      <c r="C165" s="14"/>
      <c r="D165" s="14"/>
      <c r="E165" s="120"/>
      <c r="F165" s="121"/>
      <c r="G165" s="122"/>
      <c r="H165" s="229">
        <f>-9261623+3044858</f>
        <v>-6216765</v>
      </c>
      <c r="I165" s="230">
        <f>-9261623+3044858</f>
        <v>-6216765</v>
      </c>
      <c r="J165" s="86">
        <f t="shared" ref="J165" si="107">I165-H165</f>
        <v>0</v>
      </c>
      <c r="K165" s="217"/>
      <c r="L165" s="217"/>
      <c r="M165" s="217"/>
      <c r="N165" s="230">
        <f>-9261623+3044858</f>
        <v>-6216765</v>
      </c>
      <c r="O165" s="77"/>
      <c r="P165" s="231">
        <f>M165+N165+O165</f>
        <v>-6216765</v>
      </c>
      <c r="Q165" s="89">
        <v>0</v>
      </c>
      <c r="R165" s="89">
        <v>0</v>
      </c>
      <c r="S165" s="89">
        <f>Q165+R165</f>
        <v>0</v>
      </c>
      <c r="T165" s="232"/>
      <c r="U165" s="233"/>
      <c r="V165" s="89">
        <f>P165-S165</f>
        <v>-6216765</v>
      </c>
      <c r="W165" s="222"/>
      <c r="X165" s="223"/>
    </row>
    <row r="166" spans="1:24" ht="15.75" x14ac:dyDescent="0.3">
      <c r="A166" s="28"/>
      <c r="B166" s="28"/>
      <c r="C166" s="14"/>
      <c r="D166" s="14"/>
      <c r="E166" s="120"/>
      <c r="F166" s="121"/>
      <c r="G166" s="122"/>
      <c r="H166" s="120"/>
      <c r="I166" s="234"/>
      <c r="J166" s="234"/>
      <c r="K166" s="234"/>
      <c r="L166" s="234"/>
      <c r="M166" s="234"/>
      <c r="N166" s="234"/>
      <c r="O166" s="234"/>
      <c r="P166" s="234"/>
      <c r="Q166" s="235"/>
      <c r="R166" s="234"/>
      <c r="S166" s="234"/>
      <c r="T166" s="234"/>
      <c r="U166" s="204"/>
      <c r="V166" s="134"/>
      <c r="W166" s="222"/>
      <c r="X166" s="223"/>
    </row>
    <row r="167" spans="1:24" ht="16.5" thickBot="1" x14ac:dyDescent="0.35">
      <c r="A167" s="184" t="s">
        <v>249</v>
      </c>
      <c r="B167" s="6"/>
      <c r="C167" s="14"/>
      <c r="D167" s="14"/>
      <c r="E167" s="236">
        <f>E22+E36+E55+E68+E75+E104+E116+E134+E155+E161</f>
        <v>0</v>
      </c>
      <c r="F167" s="237">
        <f>F22+F36+F55+F68+F75+F104+F116+F134+F155+F161</f>
        <v>3065.6499999999996</v>
      </c>
      <c r="G167" s="238">
        <f>G22+G36+G55+G68+G75+G104+G116+G134+G155+G161</f>
        <v>-3224.73</v>
      </c>
      <c r="H167" s="239">
        <f>H22+H36+H55+H68+H75+H104+H116+H134+H155+H161+H165</f>
        <v>331316935</v>
      </c>
      <c r="I167" s="239">
        <f>I22+I36+I55+I68+I75+I104+I116+I134+I155+I161+I165</f>
        <v>331316935</v>
      </c>
      <c r="J167" s="240">
        <f>J22+J36+J55+J68+J75+J104+J116+J134+J155+J161+J165</f>
        <v>0</v>
      </c>
      <c r="K167" s="239">
        <f>K22+K36+K55+K68+K75+K104+K116+K134+K155+K161</f>
        <v>0</v>
      </c>
      <c r="L167" s="239">
        <f>L22+L36+L55+L68+L75+L104+L116+L134+L155+L161</f>
        <v>0</v>
      </c>
      <c r="M167" s="239">
        <f t="shared" ref="M167:S167" si="108">M22+M36+M55+M68+M75+M104+M116+M134+M155+M161+M165</f>
        <v>0</v>
      </c>
      <c r="N167" s="239">
        <f t="shared" si="108"/>
        <v>331316935</v>
      </c>
      <c r="O167" s="241">
        <f t="shared" si="108"/>
        <v>0</v>
      </c>
      <c r="P167" s="239">
        <f t="shared" si="108"/>
        <v>331316935</v>
      </c>
      <c r="Q167" s="242">
        <f t="shared" si="108"/>
        <v>55876794.859999999</v>
      </c>
      <c r="R167" s="239">
        <f t="shared" si="108"/>
        <v>275440139.87747598</v>
      </c>
      <c r="S167" s="239">
        <f t="shared" si="108"/>
        <v>331316934.73747587</v>
      </c>
      <c r="T167" s="243">
        <f>IF(ISERR(Q167/S167),"-",Q167/S167)</f>
        <v>0.16865058498828273</v>
      </c>
      <c r="U167" s="244">
        <f>U22+U36+U55+U68+U75+U104+U116+U134+U155+U161</f>
        <v>-6367257.262524114</v>
      </c>
      <c r="V167" s="117">
        <f>V22+V36+V55+V68+V75+V104+V116+V134+V155+V161+V165</f>
        <v>0.26252411399036646</v>
      </c>
      <c r="W167" s="118">
        <f>IF(ISERR(V167/P167),"-",V167/P167)</f>
        <v>7.9236551548554696E-10</v>
      </c>
      <c r="X167" s="119"/>
    </row>
    <row r="168" spans="1:24" ht="15.75" thickTop="1" x14ac:dyDescent="0.25"/>
    <row r="169" spans="1:24" x14ac:dyDescent="0.25">
      <c r="H169" s="245"/>
    </row>
  </sheetData>
  <mergeCells count="12">
    <mergeCell ref="V6:W6"/>
    <mergeCell ref="E1:P1"/>
    <mergeCell ref="Q1:X1"/>
    <mergeCell ref="E2:P2"/>
    <mergeCell ref="Q2:X2"/>
    <mergeCell ref="E3:P3"/>
    <mergeCell ref="Q3:X3"/>
    <mergeCell ref="J4:N4"/>
    <mergeCell ref="I5:O5"/>
    <mergeCell ref="E6:G6"/>
    <mergeCell ref="H6:P6"/>
    <mergeCell ref="Q6:T6"/>
  </mergeCells>
  <pageMargins left="0.7" right="0.7" top="0.75" bottom="0.75" header="0.3" footer="0.3"/>
  <pageSetup paperSize="5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Anglophone School Districts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Tracey, Shawn (ASD-W)</cp:lastModifiedBy>
  <cp:lastPrinted>2025-06-17T14:12:29Z</cp:lastPrinted>
  <dcterms:created xsi:type="dcterms:W3CDTF">2025-06-16T16:40:35Z</dcterms:created>
  <dcterms:modified xsi:type="dcterms:W3CDTF">2025-06-17T14:13:03Z</dcterms:modified>
</cp:coreProperties>
</file>