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bed-my.sharepoint.com/personal/kendra_hatheway_nbed_nb_ca/Documents/Carol's Backup/Executive Assistant Files/2024-2025/Meetings/DEC/Documents by Date/Public Meetings/April 24, 2025/"/>
    </mc:Choice>
  </mc:AlternateContent>
  <xr:revisionPtr revIDLastSave="0" documentId="8_{2283B09C-B9DF-49DB-9F0A-F24663FDC7C0}" xr6:coauthVersionLast="47" xr6:coauthVersionMax="47" xr10:uidLastSave="{00000000-0000-0000-0000-000000000000}"/>
  <bookViews>
    <workbookView xWindow="3975" yWindow="1755" windowWidth="21600" windowHeight="11385" xr2:uid="{A459A3CE-BABE-4E18-8A23-B99D80204F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3" i="1" l="1"/>
  <c r="P163" i="1"/>
  <c r="V163" i="1" s="1"/>
  <c r="J163" i="1"/>
  <c r="AD161" i="1"/>
  <c r="O161" i="1"/>
  <c r="N161" i="1"/>
  <c r="L161" i="1"/>
  <c r="K161" i="1"/>
  <c r="I161" i="1"/>
  <c r="H161" i="1"/>
  <c r="G161" i="1"/>
  <c r="F161" i="1"/>
  <c r="E161" i="1"/>
  <c r="Z160" i="1"/>
  <c r="AA160" i="1" s="1"/>
  <c r="AB160" i="1" s="1"/>
  <c r="Q160" i="1"/>
  <c r="M160" i="1"/>
  <c r="J160" i="1"/>
  <c r="Z159" i="1"/>
  <c r="Z161" i="1" s="1"/>
  <c r="Q159" i="1"/>
  <c r="M159" i="1"/>
  <c r="P159" i="1" s="1"/>
  <c r="J159" i="1"/>
  <c r="J161" i="1" s="1"/>
  <c r="G159" i="1"/>
  <c r="AH155" i="1"/>
  <c r="AD155" i="1"/>
  <c r="N155" i="1"/>
  <c r="I155" i="1"/>
  <c r="G155" i="1"/>
  <c r="F155" i="1"/>
  <c r="E155" i="1"/>
  <c r="AA154" i="1"/>
  <c r="AB154" i="1" s="1"/>
  <c r="Z154" i="1"/>
  <c r="L154" i="1"/>
  <c r="M154" i="1" s="1"/>
  <c r="P154" i="1" s="1"/>
  <c r="J154" i="1"/>
  <c r="Z153" i="1"/>
  <c r="AA153" i="1" s="1"/>
  <c r="AB153" i="1" s="1"/>
  <c r="Q153" i="1"/>
  <c r="O153" i="1"/>
  <c r="O155" i="1" s="1"/>
  <c r="K153" i="1"/>
  <c r="H153" i="1"/>
  <c r="Z152" i="1"/>
  <c r="AA152" i="1" s="1"/>
  <c r="AB152" i="1" s="1"/>
  <c r="Q152" i="1"/>
  <c r="M152" i="1"/>
  <c r="P152" i="1" s="1"/>
  <c r="J152" i="1"/>
  <c r="Z151" i="1"/>
  <c r="AA151" i="1" s="1"/>
  <c r="AB151" i="1" s="1"/>
  <c r="Q151" i="1"/>
  <c r="M151" i="1"/>
  <c r="P151" i="1" s="1"/>
  <c r="R151" i="1" s="1"/>
  <c r="S151" i="1" s="1"/>
  <c r="U151" i="1" s="1"/>
  <c r="J151" i="1"/>
  <c r="Z150" i="1"/>
  <c r="AA150" i="1" s="1"/>
  <c r="AB150" i="1" s="1"/>
  <c r="M150" i="1"/>
  <c r="P150" i="1" s="1"/>
  <c r="R150" i="1" s="1"/>
  <c r="S150" i="1" s="1"/>
  <c r="J150" i="1"/>
  <c r="Z149" i="1"/>
  <c r="AA149" i="1" s="1"/>
  <c r="AB149" i="1" s="1"/>
  <c r="R149" i="1"/>
  <c r="Q149" i="1"/>
  <c r="M149" i="1"/>
  <c r="P149" i="1" s="1"/>
  <c r="J149" i="1"/>
  <c r="Z148" i="1"/>
  <c r="AA148" i="1" s="1"/>
  <c r="AB148" i="1" s="1"/>
  <c r="R148" i="1"/>
  <c r="S148" i="1" s="1"/>
  <c r="Q148" i="1"/>
  <c r="M148" i="1"/>
  <c r="P148" i="1" s="1"/>
  <c r="J148" i="1"/>
  <c r="Z147" i="1"/>
  <c r="AA147" i="1" s="1"/>
  <c r="AB147" i="1" s="1"/>
  <c r="R147" i="1"/>
  <c r="S147" i="1" s="1"/>
  <c r="AE147" i="1" s="1"/>
  <c r="AF147" i="1" s="1"/>
  <c r="Q147" i="1"/>
  <c r="M147" i="1"/>
  <c r="P147" i="1" s="1"/>
  <c r="J147" i="1"/>
  <c r="Z146" i="1"/>
  <c r="AA146" i="1" s="1"/>
  <c r="AB146" i="1" s="1"/>
  <c r="Q146" i="1"/>
  <c r="P146" i="1"/>
  <c r="M146" i="1"/>
  <c r="J146" i="1"/>
  <c r="I146" i="1"/>
  <c r="Z145" i="1"/>
  <c r="AA145" i="1" s="1"/>
  <c r="AB145" i="1" s="1"/>
  <c r="M145" i="1"/>
  <c r="P145" i="1" s="1"/>
  <c r="J145" i="1"/>
  <c r="AI144" i="1"/>
  <c r="AJ144" i="1" s="1"/>
  <c r="Z144" i="1"/>
  <c r="AA144" i="1" s="1"/>
  <c r="AB144" i="1" s="1"/>
  <c r="S144" i="1"/>
  <c r="AE144" i="1" s="1"/>
  <c r="AF144" i="1" s="1"/>
  <c r="M144" i="1"/>
  <c r="P144" i="1" s="1"/>
  <c r="V144" i="1" s="1"/>
  <c r="W144" i="1" s="1"/>
  <c r="J144" i="1"/>
  <c r="AA143" i="1"/>
  <c r="AB143" i="1" s="1"/>
  <c r="Z143" i="1"/>
  <c r="R143" i="1"/>
  <c r="S143" i="1" s="1"/>
  <c r="U143" i="1" s="1"/>
  <c r="Q143" i="1"/>
  <c r="M143" i="1"/>
  <c r="P143" i="1" s="1"/>
  <c r="J143" i="1"/>
  <c r="Z142" i="1"/>
  <c r="AA142" i="1" s="1"/>
  <c r="T142" i="1"/>
  <c r="S142" i="1"/>
  <c r="AE142" i="1" s="1"/>
  <c r="AF142" i="1" s="1"/>
  <c r="M142" i="1"/>
  <c r="P142" i="1" s="1"/>
  <c r="V142" i="1" s="1"/>
  <c r="W142" i="1" s="1"/>
  <c r="J142" i="1"/>
  <c r="AA141" i="1"/>
  <c r="AB141" i="1" s="1"/>
  <c r="Z141" i="1"/>
  <c r="R141" i="1"/>
  <c r="Q141" i="1"/>
  <c r="M141" i="1"/>
  <c r="P141" i="1" s="1"/>
  <c r="J141" i="1"/>
  <c r="Z140" i="1"/>
  <c r="Q140" i="1"/>
  <c r="M140" i="1"/>
  <c r="P140" i="1" s="1"/>
  <c r="J140" i="1"/>
  <c r="S139" i="1"/>
  <c r="M139" i="1"/>
  <c r="P139" i="1" s="1"/>
  <c r="V139" i="1" s="1"/>
  <c r="W139" i="1" s="1"/>
  <c r="J139" i="1"/>
  <c r="Z138" i="1"/>
  <c r="AA138" i="1" s="1"/>
  <c r="AB138" i="1" s="1"/>
  <c r="Q138" i="1"/>
  <c r="M138" i="1"/>
  <c r="J138" i="1"/>
  <c r="AD132" i="1"/>
  <c r="AD134" i="1" s="1"/>
  <c r="N132" i="1"/>
  <c r="L132" i="1"/>
  <c r="F132" i="1"/>
  <c r="E132" i="1"/>
  <c r="P131" i="1"/>
  <c r="M131" i="1"/>
  <c r="J131" i="1"/>
  <c r="Z130" i="1"/>
  <c r="R130" i="1"/>
  <c r="S130" i="1" s="1"/>
  <c r="AI130" i="1" s="1"/>
  <c r="AJ130" i="1" s="1"/>
  <c r="O130" i="1"/>
  <c r="O132" i="1" s="1"/>
  <c r="O134" i="1" s="1"/>
  <c r="L130" i="1"/>
  <c r="K130" i="1"/>
  <c r="M130" i="1" s="1"/>
  <c r="I130" i="1"/>
  <c r="I132" i="1" s="1"/>
  <c r="H130" i="1"/>
  <c r="Z129" i="1"/>
  <c r="AA129" i="1" s="1"/>
  <c r="AB129" i="1" s="1"/>
  <c r="R129" i="1"/>
  <c r="Q129" i="1"/>
  <c r="Q132" i="1" s="1"/>
  <c r="M129" i="1"/>
  <c r="P129" i="1" s="1"/>
  <c r="J129" i="1"/>
  <c r="F128" i="1"/>
  <c r="Z127" i="1"/>
  <c r="AA127" i="1" s="1"/>
  <c r="S127" i="1"/>
  <c r="T127" i="1" s="1"/>
  <c r="R127" i="1"/>
  <c r="K127" i="1"/>
  <c r="M127" i="1" s="1"/>
  <c r="H127" i="1"/>
  <c r="J127" i="1" s="1"/>
  <c r="G127" i="1"/>
  <c r="G132" i="1" s="1"/>
  <c r="F127" i="1"/>
  <c r="AD124" i="1"/>
  <c r="Q124" i="1"/>
  <c r="Q134" i="1" s="1"/>
  <c r="O124" i="1"/>
  <c r="N124" i="1"/>
  <c r="L124" i="1"/>
  <c r="L134" i="1" s="1"/>
  <c r="K124" i="1"/>
  <c r="J124" i="1"/>
  <c r="I124" i="1"/>
  <c r="I134" i="1" s="1"/>
  <c r="H124" i="1"/>
  <c r="G124" i="1"/>
  <c r="F124" i="1"/>
  <c r="E124" i="1"/>
  <c r="E134" i="1" s="1"/>
  <c r="Z123" i="1"/>
  <c r="AA123" i="1" s="1"/>
  <c r="AB123" i="1" s="1"/>
  <c r="P123" i="1"/>
  <c r="R123" i="1" s="1"/>
  <c r="S123" i="1" s="1"/>
  <c r="M123" i="1"/>
  <c r="M124" i="1" s="1"/>
  <c r="J123" i="1"/>
  <c r="I123" i="1"/>
  <c r="Z122" i="1"/>
  <c r="M122" i="1"/>
  <c r="P122" i="1" s="1"/>
  <c r="J122" i="1"/>
  <c r="AD116" i="1"/>
  <c r="Q116" i="1"/>
  <c r="O116" i="1"/>
  <c r="N116" i="1"/>
  <c r="L116" i="1"/>
  <c r="K116" i="1"/>
  <c r="I116" i="1"/>
  <c r="F116" i="1"/>
  <c r="E116" i="1"/>
  <c r="Z115" i="1"/>
  <c r="AA115" i="1" s="1"/>
  <c r="AB115" i="1" s="1"/>
  <c r="R115" i="1"/>
  <c r="S115" i="1" s="1"/>
  <c r="M115" i="1"/>
  <c r="P115" i="1" s="1"/>
  <c r="V115" i="1" s="1"/>
  <c r="W115" i="1" s="1"/>
  <c r="J115" i="1"/>
  <c r="Z114" i="1"/>
  <c r="AA114" i="1" s="1"/>
  <c r="AB114" i="1" s="1"/>
  <c r="R114" i="1"/>
  <c r="S114" i="1" s="1"/>
  <c r="M114" i="1"/>
  <c r="P114" i="1" s="1"/>
  <c r="L114" i="1"/>
  <c r="H114" i="1"/>
  <c r="J114" i="1" s="1"/>
  <c r="AA113" i="1"/>
  <c r="AB113" i="1" s="1"/>
  <c r="Z113" i="1"/>
  <c r="R113" i="1"/>
  <c r="S113" i="1" s="1"/>
  <c r="M113" i="1"/>
  <c r="P113" i="1" s="1"/>
  <c r="V113" i="1" s="1"/>
  <c r="W113" i="1" s="1"/>
  <c r="K113" i="1"/>
  <c r="J113" i="1"/>
  <c r="Z112" i="1"/>
  <c r="AA112" i="1" s="1"/>
  <c r="AB112" i="1" s="1"/>
  <c r="R112" i="1"/>
  <c r="S112" i="1" s="1"/>
  <c r="T112" i="1" s="1"/>
  <c r="M112" i="1"/>
  <c r="P112" i="1" s="1"/>
  <c r="J112" i="1"/>
  <c r="AA111" i="1"/>
  <c r="AB111" i="1" s="1"/>
  <c r="R111" i="1"/>
  <c r="S111" i="1" s="1"/>
  <c r="AE111" i="1" s="1"/>
  <c r="AF111" i="1" s="1"/>
  <c r="M111" i="1"/>
  <c r="P111" i="1" s="1"/>
  <c r="J111" i="1"/>
  <c r="Z110" i="1"/>
  <c r="AA110" i="1" s="1"/>
  <c r="AB110" i="1" s="1"/>
  <c r="R110" i="1"/>
  <c r="S110" i="1" s="1"/>
  <c r="U110" i="1" s="1"/>
  <c r="M110" i="1"/>
  <c r="P110" i="1" s="1"/>
  <c r="J110" i="1"/>
  <c r="F109" i="1"/>
  <c r="G109" i="1" s="1"/>
  <c r="G116" i="1" s="1"/>
  <c r="Z108" i="1"/>
  <c r="R108" i="1"/>
  <c r="S108" i="1" s="1"/>
  <c r="M108" i="1"/>
  <c r="P108" i="1" s="1"/>
  <c r="J108" i="1"/>
  <c r="J116" i="1" s="1"/>
  <c r="H108" i="1"/>
  <c r="H116" i="1" s="1"/>
  <c r="G108" i="1"/>
  <c r="AD104" i="1"/>
  <c r="Q104" i="1"/>
  <c r="O104" i="1"/>
  <c r="N104" i="1"/>
  <c r="L104" i="1"/>
  <c r="K104" i="1"/>
  <c r="I104" i="1"/>
  <c r="E104" i="1"/>
  <c r="AA103" i="1"/>
  <c r="AB103" i="1" s="1"/>
  <c r="Z103" i="1"/>
  <c r="Q103" i="1"/>
  <c r="M103" i="1"/>
  <c r="P103" i="1" s="1"/>
  <c r="J103" i="1"/>
  <c r="Z102" i="1"/>
  <c r="AA102" i="1" s="1"/>
  <c r="AB102" i="1" s="1"/>
  <c r="R102" i="1"/>
  <c r="S102" i="1" s="1"/>
  <c r="P102" i="1"/>
  <c r="M102" i="1"/>
  <c r="J102" i="1"/>
  <c r="AI101" i="1"/>
  <c r="AJ101" i="1" s="1"/>
  <c r="Z101" i="1"/>
  <c r="AA101" i="1" s="1"/>
  <c r="AB101" i="1" s="1"/>
  <c r="R101" i="1"/>
  <c r="S101" i="1" s="1"/>
  <c r="U101" i="1" s="1"/>
  <c r="M101" i="1"/>
  <c r="P101" i="1" s="1"/>
  <c r="V101" i="1" s="1"/>
  <c r="W101" i="1" s="1"/>
  <c r="J101" i="1"/>
  <c r="R100" i="1"/>
  <c r="S100" i="1" s="1"/>
  <c r="M100" i="1"/>
  <c r="P100" i="1" s="1"/>
  <c r="V100" i="1" s="1"/>
  <c r="J100" i="1"/>
  <c r="S99" i="1"/>
  <c r="M99" i="1"/>
  <c r="P99" i="1" s="1"/>
  <c r="V99" i="1" s="1"/>
  <c r="J99" i="1"/>
  <c r="Z98" i="1"/>
  <c r="AA98" i="1" s="1"/>
  <c r="AB98" i="1" s="1"/>
  <c r="S98" i="1"/>
  <c r="T98" i="1" s="1"/>
  <c r="R98" i="1"/>
  <c r="M98" i="1"/>
  <c r="P98" i="1" s="1"/>
  <c r="J98" i="1"/>
  <c r="Z97" i="1"/>
  <c r="AA97" i="1" s="1"/>
  <c r="AB97" i="1" s="1"/>
  <c r="R97" i="1"/>
  <c r="S97" i="1" s="1"/>
  <c r="T97" i="1" s="1"/>
  <c r="M97" i="1"/>
  <c r="P97" i="1" s="1"/>
  <c r="H97" i="1"/>
  <c r="J97" i="1" s="1"/>
  <c r="Z96" i="1"/>
  <c r="AA96" i="1" s="1"/>
  <c r="AB96" i="1" s="1"/>
  <c r="R96" i="1"/>
  <c r="S96" i="1" s="1"/>
  <c r="U96" i="1" s="1"/>
  <c r="M96" i="1"/>
  <c r="P96" i="1" s="1"/>
  <c r="J96" i="1"/>
  <c r="AA95" i="1"/>
  <c r="AB95" i="1" s="1"/>
  <c r="S95" i="1"/>
  <c r="M95" i="1"/>
  <c r="P95" i="1" s="1"/>
  <c r="J95" i="1"/>
  <c r="Z94" i="1"/>
  <c r="AA94" i="1" s="1"/>
  <c r="AB94" i="1" s="1"/>
  <c r="R94" i="1"/>
  <c r="S94" i="1" s="1"/>
  <c r="P94" i="1"/>
  <c r="V94" i="1" s="1"/>
  <c r="W94" i="1" s="1"/>
  <c r="M94" i="1"/>
  <c r="J94" i="1"/>
  <c r="H94" i="1"/>
  <c r="AI93" i="1"/>
  <c r="AJ93" i="1" s="1"/>
  <c r="AE93" i="1"/>
  <c r="AF93" i="1" s="1"/>
  <c r="Z93" i="1"/>
  <c r="AA93" i="1" s="1"/>
  <c r="AB93" i="1" s="1"/>
  <c r="V93" i="1"/>
  <c r="W93" i="1" s="1"/>
  <c r="U93" i="1"/>
  <c r="T93" i="1"/>
  <c r="S93" i="1"/>
  <c r="M93" i="1"/>
  <c r="P93" i="1" s="1"/>
  <c r="J93" i="1"/>
  <c r="AA92" i="1"/>
  <c r="AB92" i="1" s="1"/>
  <c r="Z92" i="1"/>
  <c r="R92" i="1"/>
  <c r="S92" i="1" s="1"/>
  <c r="M92" i="1"/>
  <c r="P92" i="1" s="1"/>
  <c r="J92" i="1"/>
  <c r="Z91" i="1"/>
  <c r="AA91" i="1" s="1"/>
  <c r="AB91" i="1" s="1"/>
  <c r="S91" i="1"/>
  <c r="M91" i="1"/>
  <c r="P91" i="1" s="1"/>
  <c r="V91" i="1" s="1"/>
  <c r="W91" i="1" s="1"/>
  <c r="J91" i="1"/>
  <c r="S90" i="1"/>
  <c r="T90" i="1" s="1"/>
  <c r="M90" i="1"/>
  <c r="P90" i="1" s="1"/>
  <c r="V90" i="1" s="1"/>
  <c r="J90" i="1"/>
  <c r="Z89" i="1"/>
  <c r="AA89" i="1" s="1"/>
  <c r="AB89" i="1" s="1"/>
  <c r="R89" i="1"/>
  <c r="S89" i="1" s="1"/>
  <c r="U89" i="1" s="1"/>
  <c r="M89" i="1"/>
  <c r="P89" i="1" s="1"/>
  <c r="J89" i="1"/>
  <c r="Z88" i="1"/>
  <c r="AA88" i="1" s="1"/>
  <c r="AB88" i="1" s="1"/>
  <c r="R88" i="1"/>
  <c r="S88" i="1" s="1"/>
  <c r="T88" i="1" s="1"/>
  <c r="P88" i="1"/>
  <c r="M88" i="1"/>
  <c r="J88" i="1"/>
  <c r="AA87" i="1"/>
  <c r="AB87" i="1" s="1"/>
  <c r="S87" i="1"/>
  <c r="M87" i="1"/>
  <c r="P87" i="1" s="1"/>
  <c r="V87" i="1" s="1"/>
  <c r="W87" i="1" s="1"/>
  <c r="J87" i="1"/>
  <c r="Z86" i="1"/>
  <c r="AA86" i="1" s="1"/>
  <c r="AB86" i="1" s="1"/>
  <c r="R86" i="1"/>
  <c r="S86" i="1" s="1"/>
  <c r="M86" i="1"/>
  <c r="P86" i="1" s="1"/>
  <c r="J86" i="1"/>
  <c r="Z85" i="1"/>
  <c r="AA85" i="1" s="1"/>
  <c r="AB85" i="1" s="1"/>
  <c r="R85" i="1"/>
  <c r="S85" i="1" s="1"/>
  <c r="M85" i="1"/>
  <c r="P85" i="1" s="1"/>
  <c r="J85" i="1"/>
  <c r="Z84" i="1"/>
  <c r="AA84" i="1" s="1"/>
  <c r="AB84" i="1" s="1"/>
  <c r="R84" i="1"/>
  <c r="S84" i="1" s="1"/>
  <c r="M84" i="1"/>
  <c r="P84" i="1" s="1"/>
  <c r="H84" i="1"/>
  <c r="J84" i="1" s="1"/>
  <c r="Z83" i="1"/>
  <c r="AA83" i="1" s="1"/>
  <c r="AB83" i="1" s="1"/>
  <c r="S83" i="1"/>
  <c r="R83" i="1"/>
  <c r="M83" i="1"/>
  <c r="P83" i="1" s="1"/>
  <c r="J83" i="1"/>
  <c r="Z82" i="1"/>
  <c r="AA82" i="1" s="1"/>
  <c r="AB82" i="1" s="1"/>
  <c r="S82" i="1"/>
  <c r="AE82" i="1" s="1"/>
  <c r="AF82" i="1" s="1"/>
  <c r="M82" i="1"/>
  <c r="P82" i="1" s="1"/>
  <c r="J82" i="1"/>
  <c r="Z81" i="1"/>
  <c r="AA81" i="1" s="1"/>
  <c r="AB81" i="1" s="1"/>
  <c r="R81" i="1"/>
  <c r="S81" i="1" s="1"/>
  <c r="M81" i="1"/>
  <c r="P81" i="1" s="1"/>
  <c r="J81" i="1"/>
  <c r="F80" i="1"/>
  <c r="F104" i="1" s="1"/>
  <c r="Z79" i="1"/>
  <c r="AA79" i="1" s="1"/>
  <c r="AB79" i="1" s="1"/>
  <c r="R79" i="1"/>
  <c r="S79" i="1" s="1"/>
  <c r="T79" i="1" s="1"/>
  <c r="K79" i="1"/>
  <c r="M79" i="1" s="1"/>
  <c r="H79" i="1"/>
  <c r="H104" i="1" s="1"/>
  <c r="G79" i="1"/>
  <c r="G104" i="1" s="1"/>
  <c r="F79" i="1"/>
  <c r="AD75" i="1"/>
  <c r="Q75" i="1"/>
  <c r="O75" i="1"/>
  <c r="N75" i="1"/>
  <c r="L75" i="1"/>
  <c r="K75" i="1"/>
  <c r="I75" i="1"/>
  <c r="H75" i="1"/>
  <c r="G75" i="1"/>
  <c r="E75" i="1"/>
  <c r="Z74" i="1"/>
  <c r="Q74" i="1"/>
  <c r="L74" i="1"/>
  <c r="M74" i="1" s="1"/>
  <c r="P74" i="1" s="1"/>
  <c r="J74" i="1"/>
  <c r="F73" i="1"/>
  <c r="F75" i="1" s="1"/>
  <c r="Z72" i="1"/>
  <c r="AA72" i="1" s="1"/>
  <c r="Q72" i="1"/>
  <c r="M72" i="1"/>
  <c r="J72" i="1"/>
  <c r="AD68" i="1"/>
  <c r="O68" i="1"/>
  <c r="N68" i="1"/>
  <c r="K68" i="1"/>
  <c r="I68" i="1"/>
  <c r="H68" i="1"/>
  <c r="E68" i="1"/>
  <c r="AI67" i="1"/>
  <c r="AJ67" i="1" s="1"/>
  <c r="AE67" i="1"/>
  <c r="AF67" i="1" s="1"/>
  <c r="Z67" i="1"/>
  <c r="AA67" i="1" s="1"/>
  <c r="AB67" i="1" s="1"/>
  <c r="U67" i="1"/>
  <c r="T67" i="1"/>
  <c r="S67" i="1"/>
  <c r="M67" i="1"/>
  <c r="P67" i="1" s="1"/>
  <c r="V67" i="1" s="1"/>
  <c r="W67" i="1" s="1"/>
  <c r="J67" i="1"/>
  <c r="Z66" i="1"/>
  <c r="Q66" i="1"/>
  <c r="O66" i="1"/>
  <c r="L66" i="1"/>
  <c r="M66" i="1" s="1"/>
  <c r="P66" i="1" s="1"/>
  <c r="R66" i="1" s="1"/>
  <c r="J66" i="1"/>
  <c r="Z65" i="1"/>
  <c r="AA65" i="1" s="1"/>
  <c r="AB65" i="1" s="1"/>
  <c r="M65" i="1"/>
  <c r="P65" i="1" s="1"/>
  <c r="R65" i="1" s="1"/>
  <c r="S65" i="1" s="1"/>
  <c r="AE65" i="1" s="1"/>
  <c r="AF65" i="1" s="1"/>
  <c r="J65" i="1"/>
  <c r="Z64" i="1"/>
  <c r="AA64" i="1" s="1"/>
  <c r="AB64" i="1" s="1"/>
  <c r="M64" i="1"/>
  <c r="P64" i="1" s="1"/>
  <c r="R64" i="1" s="1"/>
  <c r="S64" i="1" s="1"/>
  <c r="AI64" i="1" s="1"/>
  <c r="AJ64" i="1" s="1"/>
  <c r="J64" i="1"/>
  <c r="Z63" i="1"/>
  <c r="AA63" i="1" s="1"/>
  <c r="AB63" i="1" s="1"/>
  <c r="M63" i="1"/>
  <c r="P63" i="1" s="1"/>
  <c r="J63" i="1"/>
  <c r="AJ62" i="1"/>
  <c r="AF62" i="1"/>
  <c r="Z62" i="1"/>
  <c r="AB62" i="1" s="1"/>
  <c r="R62" i="1"/>
  <c r="S62" i="1" s="1"/>
  <c r="M62" i="1"/>
  <c r="P62" i="1" s="1"/>
  <c r="J62" i="1"/>
  <c r="Z61" i="1"/>
  <c r="AA61" i="1" s="1"/>
  <c r="AB61" i="1" s="1"/>
  <c r="L61" i="1"/>
  <c r="J61" i="1"/>
  <c r="G60" i="1"/>
  <c r="G68" i="1" s="1"/>
  <c r="F60" i="1"/>
  <c r="F68" i="1" s="1"/>
  <c r="Z59" i="1"/>
  <c r="AA59" i="1" s="1"/>
  <c r="R59" i="1"/>
  <c r="L59" i="1"/>
  <c r="M59" i="1" s="1"/>
  <c r="J59" i="1"/>
  <c r="G59" i="1"/>
  <c r="AD55" i="1"/>
  <c r="O55" i="1"/>
  <c r="N55" i="1"/>
  <c r="L55" i="1"/>
  <c r="K55" i="1"/>
  <c r="I55" i="1"/>
  <c r="E55" i="1"/>
  <c r="Z54" i="1"/>
  <c r="Q54" i="1"/>
  <c r="Q55" i="1" s="1"/>
  <c r="L54" i="1"/>
  <c r="M54" i="1" s="1"/>
  <c r="P54" i="1" s="1"/>
  <c r="J54" i="1"/>
  <c r="Z53" i="1"/>
  <c r="AA53" i="1" s="1"/>
  <c r="AB53" i="1" s="1"/>
  <c r="V53" i="1"/>
  <c r="W53" i="1" s="1"/>
  <c r="M53" i="1"/>
  <c r="P53" i="1" s="1"/>
  <c r="R53" i="1" s="1"/>
  <c r="S53" i="1" s="1"/>
  <c r="AE53" i="1" s="1"/>
  <c r="AF53" i="1" s="1"/>
  <c r="J53" i="1"/>
  <c r="Z52" i="1"/>
  <c r="M52" i="1"/>
  <c r="P52" i="1" s="1"/>
  <c r="R52" i="1" s="1"/>
  <c r="S52" i="1" s="1"/>
  <c r="U52" i="1" s="1"/>
  <c r="J52" i="1"/>
  <c r="Z51" i="1"/>
  <c r="AA51" i="1" s="1"/>
  <c r="AB51" i="1" s="1"/>
  <c r="R51" i="1"/>
  <c r="S51" i="1" s="1"/>
  <c r="AI51" i="1" s="1"/>
  <c r="AJ51" i="1" s="1"/>
  <c r="M51" i="1"/>
  <c r="P51" i="1" s="1"/>
  <c r="J51" i="1"/>
  <c r="Z50" i="1"/>
  <c r="AA50" i="1" s="1"/>
  <c r="AB50" i="1" s="1"/>
  <c r="R50" i="1"/>
  <c r="S50" i="1" s="1"/>
  <c r="AI50" i="1" s="1"/>
  <c r="AJ50" i="1" s="1"/>
  <c r="M50" i="1"/>
  <c r="P50" i="1" s="1"/>
  <c r="J50" i="1"/>
  <c r="M49" i="1"/>
  <c r="P49" i="1" s="1"/>
  <c r="G49" i="1"/>
  <c r="F49" i="1"/>
  <c r="Z48" i="1"/>
  <c r="AA48" i="1" s="1"/>
  <c r="AB48" i="1" s="1"/>
  <c r="R48" i="1"/>
  <c r="S48" i="1" s="1"/>
  <c r="AE48" i="1" s="1"/>
  <c r="AF48" i="1" s="1"/>
  <c r="M48" i="1"/>
  <c r="P48" i="1" s="1"/>
  <c r="V48" i="1" s="1"/>
  <c r="W48" i="1" s="1"/>
  <c r="J48" i="1"/>
  <c r="H48" i="1"/>
  <c r="H55" i="1" s="1"/>
  <c r="G48" i="1"/>
  <c r="Z47" i="1"/>
  <c r="AA47" i="1" s="1"/>
  <c r="AB47" i="1" s="1"/>
  <c r="P47" i="1"/>
  <c r="R47" i="1" s="1"/>
  <c r="S47" i="1" s="1"/>
  <c r="M47" i="1"/>
  <c r="J47" i="1"/>
  <c r="M46" i="1"/>
  <c r="P46" i="1" s="1"/>
  <c r="F46" i="1"/>
  <c r="G46" i="1" s="1"/>
  <c r="Z45" i="1"/>
  <c r="AA45" i="1" s="1"/>
  <c r="AB45" i="1" s="1"/>
  <c r="R45" i="1"/>
  <c r="S45" i="1" s="1"/>
  <c r="M45" i="1"/>
  <c r="P45" i="1" s="1"/>
  <c r="J45" i="1"/>
  <c r="G45" i="1"/>
  <c r="F45" i="1"/>
  <c r="Z44" i="1"/>
  <c r="AA44" i="1" s="1"/>
  <c r="AB44" i="1" s="1"/>
  <c r="M44" i="1"/>
  <c r="P44" i="1" s="1"/>
  <c r="R44" i="1" s="1"/>
  <c r="S44" i="1" s="1"/>
  <c r="J44" i="1"/>
  <c r="Z43" i="1"/>
  <c r="AA43" i="1" s="1"/>
  <c r="AB43" i="1" s="1"/>
  <c r="R43" i="1"/>
  <c r="S43" i="1" s="1"/>
  <c r="AI43" i="1" s="1"/>
  <c r="AJ43" i="1" s="1"/>
  <c r="M43" i="1"/>
  <c r="P43" i="1" s="1"/>
  <c r="J43" i="1"/>
  <c r="Z42" i="1"/>
  <c r="AA42" i="1" s="1"/>
  <c r="AB42" i="1" s="1"/>
  <c r="S42" i="1"/>
  <c r="AI42" i="1" s="1"/>
  <c r="AJ42" i="1" s="1"/>
  <c r="R42" i="1"/>
  <c r="M42" i="1"/>
  <c r="P42" i="1" s="1"/>
  <c r="J42" i="1"/>
  <c r="G41" i="1"/>
  <c r="F41" i="1"/>
  <c r="Z40" i="1"/>
  <c r="AA40" i="1" s="1"/>
  <c r="AB40" i="1" s="1"/>
  <c r="R40" i="1"/>
  <c r="S40" i="1" s="1"/>
  <c r="AE40" i="1" s="1"/>
  <c r="M40" i="1"/>
  <c r="P40" i="1" s="1"/>
  <c r="J40" i="1"/>
  <c r="G40" i="1"/>
  <c r="AD36" i="1"/>
  <c r="Q36" i="1"/>
  <c r="O36" i="1"/>
  <c r="N36" i="1"/>
  <c r="K36" i="1"/>
  <c r="H36" i="1"/>
  <c r="E36" i="1"/>
  <c r="Z35" i="1"/>
  <c r="AA35" i="1" s="1"/>
  <c r="AB35" i="1" s="1"/>
  <c r="R35" i="1"/>
  <c r="S35" i="1" s="1"/>
  <c r="AI35" i="1" s="1"/>
  <c r="AJ35" i="1" s="1"/>
  <c r="Q35" i="1"/>
  <c r="M35" i="1"/>
  <c r="P35" i="1" s="1"/>
  <c r="J35" i="1"/>
  <c r="M34" i="1"/>
  <c r="F34" i="1"/>
  <c r="G34" i="1" s="1"/>
  <c r="Z33" i="1"/>
  <c r="AA33" i="1" s="1"/>
  <c r="AB33" i="1" s="1"/>
  <c r="R33" i="1"/>
  <c r="Q33" i="1"/>
  <c r="M33" i="1"/>
  <c r="P33" i="1" s="1"/>
  <c r="J33" i="1"/>
  <c r="H33" i="1"/>
  <c r="G33" i="1"/>
  <c r="F33" i="1"/>
  <c r="Z32" i="1"/>
  <c r="AA32" i="1" s="1"/>
  <c r="AB32" i="1" s="1"/>
  <c r="M32" i="1"/>
  <c r="P32" i="1" s="1"/>
  <c r="J32" i="1"/>
  <c r="Z31" i="1"/>
  <c r="AA31" i="1" s="1"/>
  <c r="AB31" i="1" s="1"/>
  <c r="M31" i="1"/>
  <c r="P31" i="1" s="1"/>
  <c r="R31" i="1" s="1"/>
  <c r="S31" i="1" s="1"/>
  <c r="J31" i="1"/>
  <c r="Z30" i="1"/>
  <c r="AA30" i="1" s="1"/>
  <c r="AB30" i="1" s="1"/>
  <c r="R30" i="1"/>
  <c r="S30" i="1" s="1"/>
  <c r="P30" i="1"/>
  <c r="M30" i="1"/>
  <c r="J30" i="1"/>
  <c r="AA29" i="1"/>
  <c r="AB29" i="1" s="1"/>
  <c r="Z29" i="1"/>
  <c r="R29" i="1"/>
  <c r="S29" i="1" s="1"/>
  <c r="AE29" i="1" s="1"/>
  <c r="AF29" i="1" s="1"/>
  <c r="M29" i="1"/>
  <c r="P29" i="1" s="1"/>
  <c r="V29" i="1" s="1"/>
  <c r="W29" i="1" s="1"/>
  <c r="J29" i="1"/>
  <c r="M28" i="1"/>
  <c r="F28" i="1"/>
  <c r="Z27" i="1"/>
  <c r="AA27" i="1" s="1"/>
  <c r="AB27" i="1" s="1"/>
  <c r="R27" i="1"/>
  <c r="Q27" i="1"/>
  <c r="M27" i="1"/>
  <c r="P27" i="1" s="1"/>
  <c r="I27" i="1"/>
  <c r="H27" i="1"/>
  <c r="F27" i="1"/>
  <c r="G27" i="1" s="1"/>
  <c r="Z26" i="1"/>
  <c r="AA26" i="1" s="1"/>
  <c r="Q26" i="1"/>
  <c r="M26" i="1"/>
  <c r="L26" i="1"/>
  <c r="L36" i="1" s="1"/>
  <c r="J26" i="1"/>
  <c r="AH22" i="1"/>
  <c r="AD22" i="1"/>
  <c r="N22" i="1"/>
  <c r="L22" i="1"/>
  <c r="K22" i="1"/>
  <c r="F22" i="1"/>
  <c r="E22" i="1"/>
  <c r="Z21" i="1"/>
  <c r="AA21" i="1" s="1"/>
  <c r="AB21" i="1" s="1"/>
  <c r="L21" i="1"/>
  <c r="M21" i="1" s="1"/>
  <c r="P21" i="1" s="1"/>
  <c r="J21" i="1"/>
  <c r="Z20" i="1"/>
  <c r="AA20" i="1" s="1"/>
  <c r="AB20" i="1" s="1"/>
  <c r="P20" i="1"/>
  <c r="R20" i="1" s="1"/>
  <c r="S20" i="1" s="1"/>
  <c r="M20" i="1"/>
  <c r="J20" i="1"/>
  <c r="Z19" i="1"/>
  <c r="AA19" i="1" s="1"/>
  <c r="AB19" i="1" s="1"/>
  <c r="R19" i="1"/>
  <c r="S19" i="1" s="1"/>
  <c r="AE19" i="1" s="1"/>
  <c r="AF19" i="1" s="1"/>
  <c r="M19" i="1"/>
  <c r="P19" i="1" s="1"/>
  <c r="V19" i="1" s="1"/>
  <c r="W19" i="1" s="1"/>
  <c r="J19" i="1"/>
  <c r="Z18" i="1"/>
  <c r="AA18" i="1" s="1"/>
  <c r="AB18" i="1" s="1"/>
  <c r="Q18" i="1"/>
  <c r="M18" i="1"/>
  <c r="P18" i="1" s="1"/>
  <c r="J18" i="1"/>
  <c r="S17" i="1"/>
  <c r="T17" i="1" s="1"/>
  <c r="R17" i="1"/>
  <c r="M17" i="1"/>
  <c r="P17" i="1" s="1"/>
  <c r="V17" i="1" s="1"/>
  <c r="W17" i="1" s="1"/>
  <c r="L17" i="1"/>
  <c r="I17" i="1"/>
  <c r="H17" i="1"/>
  <c r="Z16" i="1"/>
  <c r="O16" i="1"/>
  <c r="M16" i="1"/>
  <c r="P16" i="1" s="1"/>
  <c r="L16" i="1"/>
  <c r="I16" i="1"/>
  <c r="J16" i="1" s="1"/>
  <c r="AI15" i="1"/>
  <c r="AJ15" i="1" s="1"/>
  <c r="Z15" i="1"/>
  <c r="AA15" i="1" s="1"/>
  <c r="AB15" i="1" s="1"/>
  <c r="U15" i="1"/>
  <c r="S15" i="1"/>
  <c r="T15" i="1" s="1"/>
  <c r="M15" i="1"/>
  <c r="P15" i="1" s="1"/>
  <c r="V15" i="1" s="1"/>
  <c r="W15" i="1" s="1"/>
  <c r="J15" i="1"/>
  <c r="AH14" i="1"/>
  <c r="Z14" i="1"/>
  <c r="AA14" i="1" s="1"/>
  <c r="AB14" i="1" s="1"/>
  <c r="R14" i="1"/>
  <c r="S14" i="1" s="1"/>
  <c r="AE14" i="1" s="1"/>
  <c r="AF14" i="1" s="1"/>
  <c r="M14" i="1"/>
  <c r="P14" i="1" s="1"/>
  <c r="V14" i="1" s="1"/>
  <c r="W14" i="1" s="1"/>
  <c r="J14" i="1"/>
  <c r="H14" i="1"/>
  <c r="G13" i="1"/>
  <c r="G22" i="1" s="1"/>
  <c r="AH12" i="1"/>
  <c r="Z12" i="1"/>
  <c r="AA12" i="1" s="1"/>
  <c r="AB12" i="1" s="1"/>
  <c r="R12" i="1"/>
  <c r="S12" i="1" s="1"/>
  <c r="L12" i="1"/>
  <c r="M12" i="1" s="1"/>
  <c r="P12" i="1" s="1"/>
  <c r="J12" i="1"/>
  <c r="G12" i="1"/>
  <c r="AE12" i="1" l="1"/>
  <c r="AF12" i="1" s="1"/>
  <c r="V12" i="1"/>
  <c r="U12" i="1"/>
  <c r="AI45" i="1"/>
  <c r="AJ45" i="1" s="1"/>
  <c r="AE45" i="1"/>
  <c r="AF45" i="1" s="1"/>
  <c r="V97" i="1"/>
  <c r="W97" i="1" s="1"/>
  <c r="U112" i="1"/>
  <c r="V114" i="1"/>
  <c r="W114" i="1" s="1"/>
  <c r="AE112" i="1"/>
  <c r="AF112" i="1" s="1"/>
  <c r="AI112" i="1"/>
  <c r="AJ112" i="1" s="1"/>
  <c r="V35" i="1"/>
  <c r="W35" i="1" s="1"/>
  <c r="V45" i="1"/>
  <c r="W45" i="1" s="1"/>
  <c r="AA159" i="1"/>
  <c r="AB159" i="1" s="1"/>
  <c r="V96" i="1"/>
  <c r="W96" i="1" s="1"/>
  <c r="V148" i="1"/>
  <c r="W148" i="1" s="1"/>
  <c r="V147" i="1"/>
  <c r="W147" i="1" s="1"/>
  <c r="N134" i="1"/>
  <c r="N165" i="1" s="1"/>
  <c r="P116" i="1"/>
  <c r="R116" i="1"/>
  <c r="M116" i="1"/>
  <c r="V112" i="1"/>
  <c r="W112" i="1" s="1"/>
  <c r="G80" i="1"/>
  <c r="V98" i="1"/>
  <c r="W98" i="1" s="1"/>
  <c r="V62" i="1"/>
  <c r="W62" i="1" s="1"/>
  <c r="AD165" i="1"/>
  <c r="J55" i="1"/>
  <c r="U53" i="1"/>
  <c r="U29" i="1"/>
  <c r="R32" i="1"/>
  <c r="S32" i="1" s="1"/>
  <c r="U32" i="1" s="1"/>
  <c r="U17" i="1"/>
  <c r="AI19" i="1"/>
  <c r="AJ19" i="1" s="1"/>
  <c r="U19" i="1"/>
  <c r="V16" i="1"/>
  <c r="W16" i="1" s="1"/>
  <c r="R16" i="1"/>
  <c r="S16" i="1" s="1"/>
  <c r="U20" i="1"/>
  <c r="AE20" i="1"/>
  <c r="AF20" i="1" s="1"/>
  <c r="AI20" i="1"/>
  <c r="AJ20" i="1" s="1"/>
  <c r="T20" i="1"/>
  <c r="U31" i="1"/>
  <c r="AE31" i="1"/>
  <c r="AF31" i="1" s="1"/>
  <c r="T31" i="1"/>
  <c r="AI31" i="1"/>
  <c r="AJ31" i="1" s="1"/>
  <c r="V31" i="1"/>
  <c r="W31" i="1" s="1"/>
  <c r="AI92" i="1"/>
  <c r="AJ92" i="1" s="1"/>
  <c r="V92" i="1"/>
  <c r="W92" i="1" s="1"/>
  <c r="U92" i="1"/>
  <c r="AE92" i="1"/>
  <c r="AF92" i="1" s="1"/>
  <c r="T92" i="1"/>
  <c r="AE30" i="1"/>
  <c r="AF30" i="1" s="1"/>
  <c r="AI30" i="1"/>
  <c r="AJ30" i="1" s="1"/>
  <c r="T50" i="1"/>
  <c r="T65" i="1"/>
  <c r="J17" i="1"/>
  <c r="M36" i="1"/>
  <c r="P26" i="1"/>
  <c r="V47" i="1"/>
  <c r="W47" i="1" s="1"/>
  <c r="U108" i="1"/>
  <c r="T108" i="1"/>
  <c r="S116" i="1"/>
  <c r="T116" i="1" s="1"/>
  <c r="AI108" i="1"/>
  <c r="AE108" i="1"/>
  <c r="U127" i="1"/>
  <c r="M22" i="1"/>
  <c r="P22" i="1"/>
  <c r="R18" i="1"/>
  <c r="S18" i="1" s="1"/>
  <c r="V18" i="1"/>
  <c r="W18" i="1" s="1"/>
  <c r="AE47" i="1"/>
  <c r="AF47" i="1" s="1"/>
  <c r="AI47" i="1"/>
  <c r="AJ47" i="1" s="1"/>
  <c r="T47" i="1"/>
  <c r="R54" i="1"/>
  <c r="S54" i="1" s="1"/>
  <c r="V52" i="1"/>
  <c r="W52" i="1" s="1"/>
  <c r="U43" i="1"/>
  <c r="T43" i="1"/>
  <c r="V42" i="1"/>
  <c r="W42" i="1" s="1"/>
  <c r="V50" i="1"/>
  <c r="W50" i="1" s="1"/>
  <c r="T85" i="1"/>
  <c r="AI85" i="1"/>
  <c r="AJ85" i="1" s="1"/>
  <c r="AE85" i="1"/>
  <c r="AF85" i="1" s="1"/>
  <c r="U85" i="1"/>
  <c r="AI87" i="1"/>
  <c r="AJ87" i="1" s="1"/>
  <c r="AE87" i="1"/>
  <c r="AF87" i="1" s="1"/>
  <c r="T87" i="1"/>
  <c r="U87" i="1"/>
  <c r="J153" i="1"/>
  <c r="J155" i="1" s="1"/>
  <c r="H155" i="1"/>
  <c r="AE151" i="1"/>
  <c r="AF151" i="1" s="1"/>
  <c r="T151" i="1"/>
  <c r="J22" i="1"/>
  <c r="P79" i="1"/>
  <c r="M104" i="1"/>
  <c r="AA104" i="1"/>
  <c r="AI12" i="1"/>
  <c r="AI14" i="1"/>
  <c r="AJ14" i="1" s="1"/>
  <c r="U14" i="1"/>
  <c r="G55" i="1"/>
  <c r="T12" i="1"/>
  <c r="T14" i="1"/>
  <c r="T19" i="1"/>
  <c r="F36" i="1"/>
  <c r="AE43" i="1"/>
  <c r="AF43" i="1" s="1"/>
  <c r="M61" i="1"/>
  <c r="P61" i="1" s="1"/>
  <c r="L68" i="1"/>
  <c r="V85" i="1"/>
  <c r="W85" i="1" s="1"/>
  <c r="P127" i="1"/>
  <c r="M132" i="1"/>
  <c r="M134" i="1" s="1"/>
  <c r="M153" i="1"/>
  <c r="P153" i="1" s="1"/>
  <c r="K155" i="1"/>
  <c r="J27" i="1"/>
  <c r="J36" i="1" s="1"/>
  <c r="I36" i="1"/>
  <c r="T52" i="1"/>
  <c r="J130" i="1"/>
  <c r="J132" i="1" s="1"/>
  <c r="J134" i="1" s="1"/>
  <c r="H132" i="1"/>
  <c r="H134" i="1" s="1"/>
  <c r="T30" i="1"/>
  <c r="P160" i="1"/>
  <c r="M161" i="1"/>
  <c r="AI44" i="1"/>
  <c r="AJ44" i="1" s="1"/>
  <c r="AE44" i="1"/>
  <c r="AF44" i="1" s="1"/>
  <c r="T44" i="1"/>
  <c r="T143" i="1"/>
  <c r="M68" i="1"/>
  <c r="P59" i="1"/>
  <c r="T62" i="1"/>
  <c r="U62" i="1"/>
  <c r="AI84" i="1"/>
  <c r="AJ84" i="1" s="1"/>
  <c r="AE84" i="1"/>
  <c r="AF84" i="1" s="1"/>
  <c r="T84" i="1"/>
  <c r="V84" i="1"/>
  <c r="W84" i="1" s="1"/>
  <c r="U84" i="1"/>
  <c r="AE102" i="1"/>
  <c r="AF102" i="1" s="1"/>
  <c r="U102" i="1"/>
  <c r="T102" i="1"/>
  <c r="AI102" i="1"/>
  <c r="AJ102" i="1" s="1"/>
  <c r="V108" i="1"/>
  <c r="AB127" i="1"/>
  <c r="P138" i="1"/>
  <c r="AI151" i="1"/>
  <c r="AJ151" i="1" s="1"/>
  <c r="Z155" i="1"/>
  <c r="AI111" i="1"/>
  <c r="AJ111" i="1" s="1"/>
  <c r="T111" i="1"/>
  <c r="U111" i="1"/>
  <c r="AI32" i="1"/>
  <c r="AJ32" i="1" s="1"/>
  <c r="AE32" i="1"/>
  <c r="AF32" i="1" s="1"/>
  <c r="S33" i="1"/>
  <c r="V33" i="1" s="1"/>
  <c r="W33" i="1" s="1"/>
  <c r="AE35" i="1"/>
  <c r="AF35" i="1" s="1"/>
  <c r="U35" i="1"/>
  <c r="T35" i="1"/>
  <c r="AF40" i="1"/>
  <c r="V51" i="1"/>
  <c r="W51" i="1" s="1"/>
  <c r="U94" i="1"/>
  <c r="T94" i="1"/>
  <c r="AI94" i="1"/>
  <c r="AJ94" i="1" s="1"/>
  <c r="AE94" i="1"/>
  <c r="AF94" i="1" s="1"/>
  <c r="AI98" i="1"/>
  <c r="AJ98" i="1" s="1"/>
  <c r="AE98" i="1"/>
  <c r="AF98" i="1" s="1"/>
  <c r="U98" i="1"/>
  <c r="U42" i="1"/>
  <c r="T42" i="1"/>
  <c r="AE50" i="1"/>
  <c r="AF50" i="1" s="1"/>
  <c r="U50" i="1"/>
  <c r="AI65" i="1"/>
  <c r="AJ65" i="1" s="1"/>
  <c r="V65" i="1"/>
  <c r="W65" i="1" s="1"/>
  <c r="U65" i="1"/>
  <c r="AI127" i="1"/>
  <c r="AE127" i="1"/>
  <c r="AE42" i="1"/>
  <c r="AF42" i="1" s="1"/>
  <c r="U47" i="1"/>
  <c r="AI123" i="1"/>
  <c r="AJ123" i="1" s="1"/>
  <c r="U123" i="1"/>
  <c r="AE123" i="1"/>
  <c r="AF123" i="1" s="1"/>
  <c r="T123" i="1"/>
  <c r="AI143" i="1"/>
  <c r="AJ143" i="1" s="1"/>
  <c r="V143" i="1"/>
  <c r="W143" i="1" s="1"/>
  <c r="AE143" i="1"/>
  <c r="AF143" i="1" s="1"/>
  <c r="U30" i="1"/>
  <c r="R21" i="1"/>
  <c r="S21" i="1" s="1"/>
  <c r="S22" i="1" s="1"/>
  <c r="V30" i="1"/>
  <c r="W30" i="1" s="1"/>
  <c r="U44" i="1"/>
  <c r="R74" i="1"/>
  <c r="S74" i="1" s="1"/>
  <c r="AA16" i="1"/>
  <c r="AB16" i="1" s="1"/>
  <c r="O22" i="1"/>
  <c r="O165" i="1" s="1"/>
  <c r="U114" i="1"/>
  <c r="T114" i="1"/>
  <c r="AI114" i="1"/>
  <c r="AJ114" i="1" s="1"/>
  <c r="AE114" i="1"/>
  <c r="AF114" i="1" s="1"/>
  <c r="H22" i="1"/>
  <c r="H165" i="1" s="1"/>
  <c r="V20" i="1"/>
  <c r="W20" i="1" s="1"/>
  <c r="Z36" i="1"/>
  <c r="F55" i="1"/>
  <c r="U51" i="1"/>
  <c r="T51" i="1"/>
  <c r="AE51" i="1"/>
  <c r="AF51" i="1" s="1"/>
  <c r="Q68" i="1"/>
  <c r="S66" i="1"/>
  <c r="AI81" i="1"/>
  <c r="AJ81" i="1" s="1"/>
  <c r="AE81" i="1"/>
  <c r="AF81" i="1" s="1"/>
  <c r="T81" i="1"/>
  <c r="U81" i="1"/>
  <c r="V81" i="1"/>
  <c r="W81" i="1" s="1"/>
  <c r="Z132" i="1"/>
  <c r="AE150" i="1"/>
  <c r="AF150" i="1" s="1"/>
  <c r="U150" i="1"/>
  <c r="T150" i="1"/>
  <c r="AI150" i="1"/>
  <c r="AJ150" i="1" s="1"/>
  <c r="W12" i="1"/>
  <c r="R63" i="1"/>
  <c r="S63" i="1" s="1"/>
  <c r="T29" i="1"/>
  <c r="AI29" i="1"/>
  <c r="AJ29" i="1" s="1"/>
  <c r="Z55" i="1"/>
  <c r="V44" i="1"/>
  <c r="W44" i="1" s="1"/>
  <c r="AA55" i="1"/>
  <c r="AE79" i="1"/>
  <c r="AE86" i="1"/>
  <c r="AF86" i="1" s="1"/>
  <c r="U86" i="1"/>
  <c r="T86" i="1"/>
  <c r="AI86" i="1"/>
  <c r="AJ86" i="1" s="1"/>
  <c r="S129" i="1"/>
  <c r="V129" i="1" s="1"/>
  <c r="W129" i="1" s="1"/>
  <c r="K132" i="1"/>
  <c r="K134" i="1" s="1"/>
  <c r="I22" i="1"/>
  <c r="AA68" i="1"/>
  <c r="AB72" i="1"/>
  <c r="V82" i="1"/>
  <c r="W82" i="1" s="1"/>
  <c r="V86" i="1"/>
  <c r="W86" i="1" s="1"/>
  <c r="V88" i="1"/>
  <c r="W88" i="1" s="1"/>
  <c r="R103" i="1"/>
  <c r="S103" i="1" s="1"/>
  <c r="V103" i="1" s="1"/>
  <c r="W103" i="1" s="1"/>
  <c r="V110" i="1"/>
  <c r="W110" i="1" s="1"/>
  <c r="AI115" i="1"/>
  <c r="AJ115" i="1" s="1"/>
  <c r="U115" i="1"/>
  <c r="AE115" i="1"/>
  <c r="AF115" i="1" s="1"/>
  <c r="Z124" i="1"/>
  <c r="AI83" i="1"/>
  <c r="AJ83" i="1" s="1"/>
  <c r="U83" i="1"/>
  <c r="AE83" i="1"/>
  <c r="AF83" i="1" s="1"/>
  <c r="T83" i="1"/>
  <c r="Z22" i="1"/>
  <c r="U48" i="1"/>
  <c r="T48" i="1"/>
  <c r="U82" i="1"/>
  <c r="T82" i="1"/>
  <c r="AI82" i="1"/>
  <c r="AJ82" i="1" s="1"/>
  <c r="U88" i="1"/>
  <c r="AE88" i="1"/>
  <c r="AF88" i="1" s="1"/>
  <c r="AI88" i="1"/>
  <c r="AJ88" i="1" s="1"/>
  <c r="AE96" i="1"/>
  <c r="AF96" i="1" s="1"/>
  <c r="T96" i="1"/>
  <c r="AI96" i="1"/>
  <c r="AJ96" i="1" s="1"/>
  <c r="AE110" i="1"/>
  <c r="AF110" i="1" s="1"/>
  <c r="T110" i="1"/>
  <c r="AI110" i="1"/>
  <c r="AJ110" i="1" s="1"/>
  <c r="T115" i="1"/>
  <c r="AA122" i="1"/>
  <c r="AA130" i="1"/>
  <c r="AB130" i="1" s="1"/>
  <c r="J75" i="1"/>
  <c r="AE113" i="1"/>
  <c r="AF113" i="1" s="1"/>
  <c r="T113" i="1"/>
  <c r="AI113" i="1"/>
  <c r="AJ113" i="1" s="1"/>
  <c r="U113" i="1"/>
  <c r="G28" i="1"/>
  <c r="G36" i="1" s="1"/>
  <c r="S59" i="1"/>
  <c r="AE64" i="1"/>
  <c r="AF64" i="1" s="1"/>
  <c r="U64" i="1"/>
  <c r="T64" i="1"/>
  <c r="P72" i="1"/>
  <c r="M75" i="1"/>
  <c r="Z75" i="1"/>
  <c r="AA74" i="1"/>
  <c r="AB74" i="1" s="1"/>
  <c r="V95" i="1"/>
  <c r="W95" i="1" s="1"/>
  <c r="AI95" i="1"/>
  <c r="AJ95" i="1" s="1"/>
  <c r="AE95" i="1"/>
  <c r="AF95" i="1" s="1"/>
  <c r="AA155" i="1"/>
  <c r="P55" i="1"/>
  <c r="M55" i="1"/>
  <c r="AI79" i="1"/>
  <c r="U79" i="1"/>
  <c r="V131" i="1"/>
  <c r="W131" i="1" s="1"/>
  <c r="U139" i="1"/>
  <c r="T139" i="1"/>
  <c r="R145" i="1"/>
  <c r="S145" i="1" s="1"/>
  <c r="T40" i="1"/>
  <c r="AI40" i="1"/>
  <c r="AE15" i="1"/>
  <c r="AF15" i="1" s="1"/>
  <c r="Q22" i="1"/>
  <c r="T18" i="1"/>
  <c r="S27" i="1"/>
  <c r="T27" i="1" s="1"/>
  <c r="U40" i="1"/>
  <c r="AI48" i="1"/>
  <c r="AJ48" i="1" s="1"/>
  <c r="T53" i="1"/>
  <c r="AI53" i="1"/>
  <c r="AJ53" i="1" s="1"/>
  <c r="V64" i="1"/>
  <c r="W64" i="1" s="1"/>
  <c r="Z104" i="1"/>
  <c r="T95" i="1"/>
  <c r="P130" i="1"/>
  <c r="V130" i="1" s="1"/>
  <c r="W130" i="1" s="1"/>
  <c r="AB142" i="1"/>
  <c r="R152" i="1"/>
  <c r="S152" i="1" s="1"/>
  <c r="V152" i="1" s="1"/>
  <c r="W152" i="1" s="1"/>
  <c r="R159" i="1"/>
  <c r="S159" i="1" s="1"/>
  <c r="P161" i="1"/>
  <c r="AA36" i="1"/>
  <c r="AB36" i="1" s="1"/>
  <c r="AA108" i="1"/>
  <c r="Z116" i="1"/>
  <c r="Q155" i="1"/>
  <c r="AB26" i="1"/>
  <c r="V40" i="1"/>
  <c r="V43" i="1"/>
  <c r="W43" i="1" s="1"/>
  <c r="U45" i="1"/>
  <c r="T45" i="1"/>
  <c r="AI89" i="1"/>
  <c r="AJ89" i="1" s="1"/>
  <c r="AE89" i="1"/>
  <c r="AF89" i="1" s="1"/>
  <c r="T89" i="1"/>
  <c r="U91" i="1"/>
  <c r="T91" i="1"/>
  <c r="AI91" i="1"/>
  <c r="AJ91" i="1" s="1"/>
  <c r="AE91" i="1"/>
  <c r="AF91" i="1" s="1"/>
  <c r="U95" i="1"/>
  <c r="U97" i="1"/>
  <c r="AE97" i="1"/>
  <c r="AF97" i="1" s="1"/>
  <c r="AI97" i="1"/>
  <c r="AJ97" i="1" s="1"/>
  <c r="R122" i="1"/>
  <c r="P124" i="1"/>
  <c r="R140" i="1"/>
  <c r="S140" i="1" s="1"/>
  <c r="Q161" i="1"/>
  <c r="AA161" i="1"/>
  <c r="AB161" i="1" s="1"/>
  <c r="V151" i="1"/>
  <c r="W151" i="1" s="1"/>
  <c r="E165" i="1"/>
  <c r="AB59" i="1"/>
  <c r="J79" i="1"/>
  <c r="J104" i="1" s="1"/>
  <c r="AE130" i="1"/>
  <c r="AF130" i="1" s="1"/>
  <c r="T130" i="1"/>
  <c r="R131" i="1"/>
  <c r="S131" i="1" s="1"/>
  <c r="T131" i="1" s="1"/>
  <c r="S141" i="1"/>
  <c r="R146" i="1"/>
  <c r="S146" i="1" s="1"/>
  <c r="S149" i="1"/>
  <c r="V149" i="1" s="1"/>
  <c r="W149" i="1" s="1"/>
  <c r="R154" i="1"/>
  <c r="S154" i="1" s="1"/>
  <c r="J68" i="1"/>
  <c r="Z68" i="1"/>
  <c r="U130" i="1"/>
  <c r="T147" i="1"/>
  <c r="AI147" i="1"/>
  <c r="AJ147" i="1" s="1"/>
  <c r="AE148" i="1"/>
  <c r="AF148" i="1" s="1"/>
  <c r="AI148" i="1"/>
  <c r="AJ148" i="1" s="1"/>
  <c r="V102" i="1"/>
  <c r="W102" i="1" s="1"/>
  <c r="F134" i="1"/>
  <c r="U144" i="1"/>
  <c r="T144" i="1"/>
  <c r="U147" i="1"/>
  <c r="T148" i="1"/>
  <c r="L155" i="1"/>
  <c r="L165" i="1" s="1"/>
  <c r="V83" i="1"/>
  <c r="W83" i="1" s="1"/>
  <c r="V89" i="1"/>
  <c r="W89" i="1" s="1"/>
  <c r="AE101" i="1"/>
  <c r="AF101" i="1" s="1"/>
  <c r="T101" i="1"/>
  <c r="V111" i="1"/>
  <c r="W111" i="1" s="1"/>
  <c r="V123" i="1"/>
  <c r="W123" i="1" s="1"/>
  <c r="G134" i="1"/>
  <c r="AI142" i="1"/>
  <c r="AJ142" i="1" s="1"/>
  <c r="U142" i="1"/>
  <c r="U148" i="1"/>
  <c r="V150" i="1"/>
  <c r="W150" i="1" s="1"/>
  <c r="AA75" i="1" l="1"/>
  <c r="AB75" i="1" s="1"/>
  <c r="T33" i="1"/>
  <c r="AB155" i="1"/>
  <c r="K165" i="1"/>
  <c r="G165" i="1"/>
  <c r="Z134" i="1"/>
  <c r="R132" i="1"/>
  <c r="AA132" i="1"/>
  <c r="AB132" i="1" s="1"/>
  <c r="F165" i="1"/>
  <c r="S104" i="1"/>
  <c r="T104" i="1" s="1"/>
  <c r="R104" i="1"/>
  <c r="AB104" i="1"/>
  <c r="AB55" i="1"/>
  <c r="V27" i="1"/>
  <c r="W27" i="1" s="1"/>
  <c r="T32" i="1"/>
  <c r="V32" i="1"/>
  <c r="W32" i="1" s="1"/>
  <c r="R22" i="1"/>
  <c r="AA22" i="1"/>
  <c r="V21" i="1"/>
  <c r="W21" i="1" s="1"/>
  <c r="U54" i="1"/>
  <c r="U55" i="1" s="1"/>
  <c r="S55" i="1"/>
  <c r="T55" i="1" s="1"/>
  <c r="T54" i="1"/>
  <c r="V54" i="1"/>
  <c r="W54" i="1" s="1"/>
  <c r="AE146" i="1"/>
  <c r="AF146" i="1" s="1"/>
  <c r="U146" i="1"/>
  <c r="AI146" i="1"/>
  <c r="AJ146" i="1" s="1"/>
  <c r="V146" i="1"/>
  <c r="W146" i="1" s="1"/>
  <c r="T146" i="1"/>
  <c r="U140" i="1"/>
  <c r="T140" i="1"/>
  <c r="V140" i="1"/>
  <c r="AF108" i="1"/>
  <c r="AE116" i="1"/>
  <c r="AF116" i="1" s="1"/>
  <c r="T152" i="1"/>
  <c r="AI152" i="1"/>
  <c r="AJ152" i="1" s="1"/>
  <c r="U152" i="1"/>
  <c r="AE152" i="1"/>
  <c r="AF152" i="1" s="1"/>
  <c r="R124" i="1"/>
  <c r="S122" i="1"/>
  <c r="R138" i="1"/>
  <c r="P155" i="1"/>
  <c r="AI129" i="1"/>
  <c r="AJ129" i="1" s="1"/>
  <c r="AE129" i="1"/>
  <c r="AF129" i="1" s="1"/>
  <c r="U129" i="1"/>
  <c r="U132" i="1" s="1"/>
  <c r="T129" i="1"/>
  <c r="T132" i="1" s="1"/>
  <c r="U63" i="1"/>
  <c r="T63" i="1"/>
  <c r="AE63" i="1"/>
  <c r="AF63" i="1" s="1"/>
  <c r="AI63" i="1"/>
  <c r="AJ63" i="1" s="1"/>
  <c r="M155" i="1"/>
  <c r="M165" i="1" s="1"/>
  <c r="AJ127" i="1"/>
  <c r="W40" i="1"/>
  <c r="U66" i="1"/>
  <c r="T66" i="1"/>
  <c r="AF79" i="1"/>
  <c r="U141" i="1"/>
  <c r="AE141" i="1"/>
  <c r="AF141" i="1" s="1"/>
  <c r="AI141" i="1"/>
  <c r="AJ141" i="1" s="1"/>
  <c r="R55" i="1"/>
  <c r="AI145" i="1"/>
  <c r="AJ145" i="1" s="1"/>
  <c r="U145" i="1"/>
  <c r="T145" i="1"/>
  <c r="AE145" i="1"/>
  <c r="AF145" i="1" s="1"/>
  <c r="AI103" i="1"/>
  <c r="AJ103" i="1" s="1"/>
  <c r="U103" i="1"/>
  <c r="U104" i="1" s="1"/>
  <c r="AE103" i="1"/>
  <c r="AF103" i="1" s="1"/>
  <c r="T103" i="1"/>
  <c r="V63" i="1"/>
  <c r="W63" i="1" s="1"/>
  <c r="AE132" i="1"/>
  <c r="AF132" i="1" s="1"/>
  <c r="AF127" i="1"/>
  <c r="U33" i="1"/>
  <c r="AE33" i="1"/>
  <c r="AF33" i="1" s="1"/>
  <c r="AI33" i="1"/>
  <c r="AJ33" i="1" s="1"/>
  <c r="R61" i="1"/>
  <c r="P104" i="1"/>
  <c r="V79" i="1"/>
  <c r="V66" i="1"/>
  <c r="W66" i="1" s="1"/>
  <c r="AB108" i="1"/>
  <c r="AA116" i="1"/>
  <c r="AB116" i="1" s="1"/>
  <c r="AI59" i="1"/>
  <c r="AE59" i="1"/>
  <c r="T59" i="1"/>
  <c r="U59" i="1"/>
  <c r="AB22" i="1"/>
  <c r="AJ12" i="1"/>
  <c r="AI154" i="1"/>
  <c r="AJ154" i="1" s="1"/>
  <c r="U154" i="1"/>
  <c r="T154" i="1"/>
  <c r="AE154" i="1"/>
  <c r="AF154" i="1" s="1"/>
  <c r="V154" i="1"/>
  <c r="W154" i="1" s="1"/>
  <c r="V145" i="1"/>
  <c r="W145" i="1" s="1"/>
  <c r="Z165" i="1"/>
  <c r="V22" i="1"/>
  <c r="T21" i="1"/>
  <c r="AI21" i="1"/>
  <c r="AJ21" i="1" s="1"/>
  <c r="U21" i="1"/>
  <c r="AE21" i="1"/>
  <c r="AF21" i="1" s="1"/>
  <c r="S132" i="1"/>
  <c r="U149" i="1"/>
  <c r="AI149" i="1"/>
  <c r="AJ149" i="1" s="1"/>
  <c r="AE149" i="1"/>
  <c r="AF149" i="1" s="1"/>
  <c r="J165" i="1"/>
  <c r="U159" i="1"/>
  <c r="AI159" i="1"/>
  <c r="AE159" i="1"/>
  <c r="V159" i="1"/>
  <c r="T159" i="1"/>
  <c r="U116" i="1"/>
  <c r="Q165" i="1"/>
  <c r="T22" i="1"/>
  <c r="AJ79" i="1"/>
  <c r="I165" i="1"/>
  <c r="V141" i="1"/>
  <c r="W141" i="1" s="1"/>
  <c r="AE55" i="1"/>
  <c r="AF55" i="1" s="1"/>
  <c r="R153" i="1"/>
  <c r="S153" i="1" s="1"/>
  <c r="W108" i="1"/>
  <c r="V116" i="1"/>
  <c r="W116" i="1" s="1"/>
  <c r="V59" i="1"/>
  <c r="P68" i="1"/>
  <c r="T149" i="1"/>
  <c r="T141" i="1"/>
  <c r="R72" i="1"/>
  <c r="P75" i="1"/>
  <c r="AB68" i="1"/>
  <c r="AI74" i="1"/>
  <c r="AJ74" i="1" s="1"/>
  <c r="U74" i="1"/>
  <c r="T74" i="1"/>
  <c r="AE74" i="1"/>
  <c r="AF74" i="1" s="1"/>
  <c r="R26" i="1"/>
  <c r="P36" i="1"/>
  <c r="AE27" i="1"/>
  <c r="AF27" i="1" s="1"/>
  <c r="U27" i="1"/>
  <c r="AI27" i="1"/>
  <c r="AJ27" i="1" s="1"/>
  <c r="P134" i="1"/>
  <c r="AJ40" i="1"/>
  <c r="AI55" i="1"/>
  <c r="AJ55" i="1" s="1"/>
  <c r="AB122" i="1"/>
  <c r="AA124" i="1"/>
  <c r="V74" i="1"/>
  <c r="W74" i="1" s="1"/>
  <c r="R160" i="1"/>
  <c r="S160" i="1" s="1"/>
  <c r="S161" i="1" s="1"/>
  <c r="T161" i="1" s="1"/>
  <c r="P132" i="1"/>
  <c r="V127" i="1"/>
  <c r="AI18" i="1"/>
  <c r="AJ18" i="1" s="1"/>
  <c r="U18" i="1"/>
  <c r="AE18" i="1"/>
  <c r="AF18" i="1" s="1"/>
  <c r="U16" i="1"/>
  <c r="T16" i="1"/>
  <c r="AE16" i="1"/>
  <c r="AI16" i="1"/>
  <c r="AJ16" i="1" s="1"/>
  <c r="AI116" i="1"/>
  <c r="AJ116" i="1" s="1"/>
  <c r="AJ108" i="1"/>
  <c r="R134" i="1" l="1"/>
  <c r="V160" i="1"/>
  <c r="W160" i="1" s="1"/>
  <c r="R161" i="1"/>
  <c r="AE104" i="1"/>
  <c r="AF104" i="1" s="1"/>
  <c r="P165" i="1"/>
  <c r="V55" i="1"/>
  <c r="W55" i="1" s="1"/>
  <c r="U22" i="1"/>
  <c r="AA134" i="1"/>
  <c r="AB124" i="1"/>
  <c r="AF59" i="1"/>
  <c r="R155" i="1"/>
  <c r="S138" i="1"/>
  <c r="W140" i="1"/>
  <c r="AF16" i="1"/>
  <c r="AE22" i="1"/>
  <c r="W59" i="1"/>
  <c r="AJ59" i="1"/>
  <c r="U122" i="1"/>
  <c r="U124" i="1" s="1"/>
  <c r="U134" i="1" s="1"/>
  <c r="AE122" i="1"/>
  <c r="S124" i="1"/>
  <c r="T122" i="1"/>
  <c r="AI122" i="1"/>
  <c r="V122" i="1"/>
  <c r="W159" i="1"/>
  <c r="V161" i="1"/>
  <c r="W161" i="1" s="1"/>
  <c r="AF159" i="1"/>
  <c r="AI22" i="1"/>
  <c r="V132" i="1"/>
  <c r="W132" i="1" s="1"/>
  <c r="W127" i="1"/>
  <c r="W22" i="1"/>
  <c r="S61" i="1"/>
  <c r="R68" i="1"/>
  <c r="U153" i="1"/>
  <c r="U155" i="1" s="1"/>
  <c r="AE153" i="1"/>
  <c r="AF153" i="1" s="1"/>
  <c r="T153" i="1"/>
  <c r="AI153" i="1"/>
  <c r="AJ153" i="1" s="1"/>
  <c r="R75" i="1"/>
  <c r="S72" i="1"/>
  <c r="AJ159" i="1"/>
  <c r="V153" i="1"/>
  <c r="W153" i="1" s="1"/>
  <c r="W79" i="1"/>
  <c r="V104" i="1"/>
  <c r="W104" i="1" s="1"/>
  <c r="AI104" i="1"/>
  <c r="AJ104" i="1" s="1"/>
  <c r="AI160" i="1"/>
  <c r="AJ160" i="1" s="1"/>
  <c r="AE160" i="1"/>
  <c r="AF160" i="1" s="1"/>
  <c r="U160" i="1"/>
  <c r="U161" i="1" s="1"/>
  <c r="T160" i="1"/>
  <c r="R36" i="1"/>
  <c r="S26" i="1"/>
  <c r="AI132" i="1"/>
  <c r="AJ132" i="1" s="1"/>
  <c r="AF22" i="1" l="1"/>
  <c r="W122" i="1"/>
  <c r="V124" i="1"/>
  <c r="V155" i="1"/>
  <c r="W155" i="1" s="1"/>
  <c r="AI61" i="1"/>
  <c r="U61" i="1"/>
  <c r="U68" i="1" s="1"/>
  <c r="T61" i="1"/>
  <c r="AE61" i="1"/>
  <c r="V61" i="1"/>
  <c r="S68" i="1"/>
  <c r="T68" i="1" s="1"/>
  <c r="AI124" i="1"/>
  <c r="AJ122" i="1"/>
  <c r="S155" i="1"/>
  <c r="T155" i="1" s="1"/>
  <c r="AE138" i="1"/>
  <c r="U138" i="1"/>
  <c r="AI138" i="1"/>
  <c r="T138" i="1"/>
  <c r="V138" i="1"/>
  <c r="W138" i="1" s="1"/>
  <c r="S134" i="1"/>
  <c r="T134" i="1" s="1"/>
  <c r="T124" i="1"/>
  <c r="AI161" i="1"/>
  <c r="AJ161" i="1" s="1"/>
  <c r="AE124" i="1"/>
  <c r="AF122" i="1"/>
  <c r="U26" i="1"/>
  <c r="U36" i="1" s="1"/>
  <c r="S36" i="1"/>
  <c r="AE26" i="1"/>
  <c r="T26" i="1"/>
  <c r="AI26" i="1"/>
  <c r="V26" i="1"/>
  <c r="R165" i="1"/>
  <c r="AI72" i="1"/>
  <c r="S75" i="1"/>
  <c r="T75" i="1" s="1"/>
  <c r="U72" i="1"/>
  <c r="U75" i="1" s="1"/>
  <c r="T72" i="1"/>
  <c r="AE72" i="1"/>
  <c r="V72" i="1"/>
  <c r="AJ22" i="1"/>
  <c r="AE161" i="1"/>
  <c r="AF161" i="1" s="1"/>
  <c r="AB134" i="1"/>
  <c r="AA165" i="1"/>
  <c r="AB165" i="1" s="1"/>
  <c r="AF61" i="1" l="1"/>
  <c r="AE68" i="1"/>
  <c r="AF68" i="1" s="1"/>
  <c r="AI134" i="1"/>
  <c r="AJ134" i="1" s="1"/>
  <c r="AJ124" i="1"/>
  <c r="AE134" i="1"/>
  <c r="AF134" i="1" s="1"/>
  <c r="AF124" i="1"/>
  <c r="AJ72" i="1"/>
  <c r="AI75" i="1"/>
  <c r="AJ75" i="1" s="1"/>
  <c r="V134" i="1"/>
  <c r="W134" i="1" s="1"/>
  <c r="W124" i="1"/>
  <c r="AF26" i="1"/>
  <c r="AE36" i="1"/>
  <c r="AE155" i="1"/>
  <c r="AF155" i="1" s="1"/>
  <c r="AF138" i="1"/>
  <c r="T36" i="1"/>
  <c r="S165" i="1"/>
  <c r="T165" i="1" s="1"/>
  <c r="AF72" i="1"/>
  <c r="AE75" i="1"/>
  <c r="AF75" i="1" s="1"/>
  <c r="W61" i="1"/>
  <c r="V68" i="1"/>
  <c r="W68" i="1" s="1"/>
  <c r="W26" i="1"/>
  <c r="V36" i="1"/>
  <c r="AJ61" i="1"/>
  <c r="AI68" i="1"/>
  <c r="AJ68" i="1" s="1"/>
  <c r="AJ26" i="1"/>
  <c r="AI36" i="1"/>
  <c r="AI155" i="1"/>
  <c r="AJ155" i="1" s="1"/>
  <c r="AJ138" i="1"/>
  <c r="W72" i="1"/>
  <c r="V75" i="1"/>
  <c r="W75" i="1" s="1"/>
  <c r="U165" i="1"/>
  <c r="V165" i="1" l="1"/>
  <c r="W165" i="1" s="1"/>
  <c r="AF36" i="1"/>
  <c r="AE165" i="1"/>
  <c r="AF165" i="1" s="1"/>
  <c r="W36" i="1"/>
  <c r="AJ36" i="1"/>
  <c r="AI165" i="1"/>
  <c r="AJ1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Tutt</author>
    <author>McKellar, Terri (ASD-W)</author>
  </authors>
  <commentList>
    <comment ref="H12" authorId="0" shapeId="0" xr:uid="{568E801C-5B9F-419D-943D-83FA59E695D7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30 day MAT leaves and certification &amp; experience awards.
</t>
        </r>
      </text>
    </comment>
    <comment ref="C15" authorId="0" shapeId="0" xr:uid="{FB93571E-8DBA-4E88-A147-69FA50072DD1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travel, meeting expenses, extra- and co-curricular trips, copying, telecom, office &amp; computer supplies, office equipment repair, &amp; classroom equipment.</t>
        </r>
      </text>
    </comment>
    <comment ref="H15" authorId="0" shapeId="0" xr:uid="{14570A4B-819C-4B98-B542-FBF828D41D16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OE funding &amp; OE Funding for teachers included in District Specific funding.
</t>
        </r>
      </text>
    </comment>
    <comment ref="C16" authorId="0" shapeId="0" xr:uid="{11C3DC5E-E7E6-41DF-A5E2-A618B310A5CF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instructional materials, textbooks, library materials, and subscriptions.</t>
        </r>
      </text>
    </comment>
    <comment ref="F27" authorId="0" shapeId="0" xr:uid="{B60EED36-0405-4C42-BC21-E44D0C7FEBBC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EAs &amp; Student Attendants.
</t>
        </r>
      </text>
    </comment>
    <comment ref="F33" authorId="0" shapeId="0" xr:uid="{A0979C80-09B3-46BB-9C45-FD1FF07DC2AB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SIWs and Behaviour Intervention Mentors.</t>
        </r>
      </text>
    </comment>
    <comment ref="D45" authorId="0" shapeId="0" xr:uid="{923F728E-8AB1-4614-9544-3ECCA9E89F49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School Psychologists, and staff for the Support Services to Education (SSE) &amp; Talk with Me (TWM) programs.</t>
        </r>
      </text>
    </comment>
    <comment ref="H63" authorId="0" shapeId="0" xr:uid="{93CFC9EE-84BC-467D-B1DD-49D981E3FF64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Nutritional Literacy funding.</t>
        </r>
      </text>
    </comment>
    <comment ref="F79" authorId="0" shapeId="0" xr:uid="{02BFFCCE-4D5F-4F75-BE50-A948A92EF3C1}">
      <text>
        <r>
          <rPr>
            <b/>
            <sz val="9"/>
            <color indexed="81"/>
            <rFont val="Tahoma"/>
            <charset val="1"/>
          </rPr>
          <t>Kevin Tutt:</t>
        </r>
        <r>
          <rPr>
            <sz val="9"/>
            <color indexed="81"/>
            <rFont val="Tahoma"/>
            <charset val="1"/>
          </rPr>
          <t xml:space="preserve">
Includes Hanwell Park Academy custodians.</t>
        </r>
      </text>
    </comment>
    <comment ref="H95" authorId="0" shapeId="0" xr:uid="{D3BB7F7C-F110-4282-9FEC-B6F9457E48E5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school site remediation funding.</t>
        </r>
      </text>
    </comment>
    <comment ref="H108" authorId="0" shapeId="0" xr:uid="{1B75D5B4-F6A0-480B-875E-CB2423756842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Bus Driver Coaches.</t>
        </r>
      </text>
    </comment>
    <comment ref="O108" authorId="1" shapeId="0" xr:uid="{E356594D-48C4-4607-90B7-7E1C8672BF0A}">
      <text>
        <r>
          <rPr>
            <b/>
            <sz val="9"/>
            <color indexed="81"/>
            <rFont val="Tahoma"/>
            <charset val="1"/>
          </rPr>
          <t>McKellar, Terri (ASD-W):</t>
        </r>
        <r>
          <rPr>
            <sz val="9"/>
            <color indexed="81"/>
            <rFont val="Tahoma"/>
            <charset val="1"/>
          </rPr>
          <t xml:space="preserve">
BD coaches</t>
        </r>
      </text>
    </comment>
    <comment ref="C127" authorId="0" shapeId="0" xr:uid="{20B8F691-2B19-45B6-AB85-7B00316C636C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Office of the Superintendent and Education Support Centres.</t>
        </r>
      </text>
    </comment>
    <comment ref="F127" authorId="0" shapeId="0" xr:uid="{84F47A5D-D5B3-406D-A099-9FDDB5718966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Excludes ITSS staff and   includes Experiential Learning Coordinators,  Occupational Health &amp; Wellness Coordinators, and additional Asst. Transportation Manager.</t>
        </r>
      </text>
    </comment>
    <comment ref="F128" authorId="0" shapeId="0" xr:uid="{ADA9D17C-5F89-4B00-AFFE-4D8B0F33E96E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Excludes ITSS staff and   includes Experiential Learning Coordinators,  Occupational Health &amp; Wellness Coordinators.</t>
        </r>
      </text>
    </comment>
    <comment ref="H130" authorId="0" shapeId="0" xr:uid="{73214EDD-A396-46F8-B37F-A291F949E441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Includes OHS Committee first aid training, print optimization rate increase funding, and OE for ISD &amp; Experiential Learning Coordinators.</t>
        </r>
      </text>
    </comment>
    <comment ref="H153" authorId="0" shapeId="0" xr:uid="{0E605A7C-A4DD-4047-BFEE-AA121C2AC12C}">
      <text>
        <r>
          <rPr>
            <b/>
            <sz val="9"/>
            <color indexed="81"/>
            <rFont val="Tahoma"/>
            <family val="2"/>
          </rPr>
          <t>Kevin Tutt:</t>
        </r>
        <r>
          <rPr>
            <sz val="9"/>
            <color indexed="81"/>
            <rFont val="Tahoma"/>
            <family val="2"/>
          </rPr>
          <t xml:space="preserve">
Tool allowance, &amp; safety boot allowance.</t>
        </r>
      </text>
    </comment>
  </commentList>
</comments>
</file>

<file path=xl/sharedStrings.xml><?xml version="1.0" encoding="utf-8"?>
<sst xmlns="http://schemas.openxmlformats.org/spreadsheetml/2006/main" count="303" uniqueCount="253">
  <si>
    <t>ANGLOPHONE SCHOOL DISTRICT - WEST</t>
  </si>
  <si>
    <t>FINANCIAL REPORT-EXPENDITURE PLAN APPROVED</t>
  </si>
  <si>
    <t>FOR THE YEAR ENDING MARCH 31, 2025</t>
  </si>
  <si>
    <t xml:space="preserve"> </t>
  </si>
  <si>
    <t>Coding</t>
  </si>
  <si>
    <t>Description</t>
  </si>
  <si>
    <t>FTEs</t>
  </si>
  <si>
    <t>Budget</t>
  </si>
  <si>
    <t>Expenses</t>
  </si>
  <si>
    <t>Change</t>
  </si>
  <si>
    <t>Variance</t>
  </si>
  <si>
    <t>Variance Explanation &gt;=$500,000</t>
  </si>
  <si>
    <t>Actual</t>
  </si>
  <si>
    <t>Funded</t>
  </si>
  <si>
    <t>Increase /</t>
  </si>
  <si>
    <t>Original</t>
  </si>
  <si>
    <t>District</t>
  </si>
  <si>
    <t>Quarterly</t>
  </si>
  <si>
    <t xml:space="preserve">Other </t>
  </si>
  <si>
    <t>Oracle</t>
  </si>
  <si>
    <t>Final</t>
  </si>
  <si>
    <t>Year-to-Date</t>
  </si>
  <si>
    <t>Forecast</t>
  </si>
  <si>
    <t>Total</t>
  </si>
  <si>
    <t>% Spent</t>
  </si>
  <si>
    <t>from last</t>
  </si>
  <si>
    <t>Amount</t>
  </si>
  <si>
    <t>%</t>
  </si>
  <si>
    <t>Staffing changes, vacancies, replacement policy changes, consumption changes,</t>
  </si>
  <si>
    <t>(Decrease)</t>
  </si>
  <si>
    <t>Funding</t>
  </si>
  <si>
    <t>Expenditure</t>
  </si>
  <si>
    <t>Transfers</t>
  </si>
  <si>
    <t xml:space="preserve">Transfers </t>
  </si>
  <si>
    <t>to-Date</t>
  </si>
  <si>
    <t>Financial</t>
  </si>
  <si>
    <t>price changes, in-year contract additions</t>
  </si>
  <si>
    <t>2021-22</t>
  </si>
  <si>
    <t>$ Change</t>
  </si>
  <si>
    <t>% Change</t>
  </si>
  <si>
    <t>2019/20</t>
  </si>
  <si>
    <t>2018/19</t>
  </si>
  <si>
    <t>Plan</t>
  </si>
  <si>
    <t>Received</t>
  </si>
  <si>
    <t>Pending</t>
  </si>
  <si>
    <t>Report</t>
  </si>
  <si>
    <t>INSTRUCTION &amp; SCHOOL SERVICES</t>
  </si>
  <si>
    <t>P71100-3431</t>
  </si>
  <si>
    <t>Teacher Salaries</t>
  </si>
  <si>
    <t>Apr.-Aug.</t>
  </si>
  <si>
    <t>Sep.-Mar.</t>
  </si>
  <si>
    <t>P71100-3467</t>
  </si>
  <si>
    <t>Supply Teachers</t>
  </si>
  <si>
    <t>P71100-4904</t>
  </si>
  <si>
    <t>School Operating Expenses</t>
  </si>
  <si>
    <t>P71100-5189</t>
  </si>
  <si>
    <t>Instructional Materials</t>
  </si>
  <si>
    <t>District Office Expenses Lead travel</t>
  </si>
  <si>
    <t>P72203-3431</t>
  </si>
  <si>
    <t>Teacher Educational Leaves</t>
  </si>
  <si>
    <t>P72204-4904</t>
  </si>
  <si>
    <t>Out of Province travel</t>
  </si>
  <si>
    <t>P72209-5189</t>
  </si>
  <si>
    <t>Teachers' Working Conditions Fund</t>
  </si>
  <si>
    <t>P75200-3451</t>
  </si>
  <si>
    <t>Co/Extra Curricular Trips</t>
  </si>
  <si>
    <t>TOTAL INSTRUCTION &amp; SCHOOL SERVICES</t>
  </si>
  <si>
    <t>EDUCATION &amp; SUPPORT SERVICES</t>
  </si>
  <si>
    <t>P71300-4904</t>
  </si>
  <si>
    <t>Operating Expenses</t>
  </si>
  <si>
    <t>P72301-3431</t>
  </si>
  <si>
    <t>Educational Assistant (EA) Wages</t>
  </si>
  <si>
    <t>P72301-3451</t>
  </si>
  <si>
    <t>EA Casual Pay</t>
  </si>
  <si>
    <t>P72301-3466</t>
  </si>
  <si>
    <t>EA Replacement Costs</t>
  </si>
  <si>
    <t>P73101-3451</t>
  </si>
  <si>
    <t>Tutor Support</t>
  </si>
  <si>
    <t>P73301-3451</t>
  </si>
  <si>
    <t>Home/Hospital Tutoring</t>
  </si>
  <si>
    <t>P73902-3431</t>
  </si>
  <si>
    <t>Positive Learning Environment</t>
  </si>
  <si>
    <t>P73902-3451</t>
  </si>
  <si>
    <t>PLEP Casual Pay</t>
  </si>
  <si>
    <t>TOTAL EDUCATION &amp; SUPPORT SERVICES</t>
  </si>
  <si>
    <t>SCHOOL MANAGEMENT &amp; SUPPORT</t>
  </si>
  <si>
    <t>P72100-3431</t>
  </si>
  <si>
    <t>School Administrative Assistant (SAA) Wages</t>
  </si>
  <si>
    <t>P72100-3451</t>
  </si>
  <si>
    <t>SAA Casual Pay</t>
  </si>
  <si>
    <t>P72100-3466</t>
  </si>
  <si>
    <t>SAA Replacement Costs</t>
  </si>
  <si>
    <t>P72100-5739</t>
  </si>
  <si>
    <t>School Office &amp; Telephones</t>
  </si>
  <si>
    <t>P72201-3431</t>
  </si>
  <si>
    <t>SSE / Talk with Me (TWM) Salaries</t>
  </si>
  <si>
    <t>P72201-4904</t>
  </si>
  <si>
    <t>SSE / TWM Operating Expenses</t>
  </si>
  <si>
    <t>P72202-3431</t>
  </si>
  <si>
    <t>Library Assistant (LA) Wages</t>
  </si>
  <si>
    <t>P72202-3451</t>
  </si>
  <si>
    <t>LA Casual Pay</t>
  </si>
  <si>
    <t>P72202-3466</t>
  </si>
  <si>
    <t>LA Replacement Costs</t>
  </si>
  <si>
    <t>P72202-5189</t>
  </si>
  <si>
    <t>LA resources (Public libraries)</t>
  </si>
  <si>
    <t>P72205-3467</t>
  </si>
  <si>
    <t>EECD Organized P.D. &amp; Meetings</t>
  </si>
  <si>
    <t>P72200-P72300</t>
  </si>
  <si>
    <t>Other Support Services</t>
  </si>
  <si>
    <t>TOTAL SCHOOL MANAGEMENT &amp; SUPPORT</t>
  </si>
  <si>
    <t>PROGRAMS</t>
  </si>
  <si>
    <t>P72211-3431</t>
  </si>
  <si>
    <t>Community Schools Coordinator Salaries</t>
  </si>
  <si>
    <t>P72211-4904</t>
  </si>
  <si>
    <t>Community Schools Operating Expenses</t>
  </si>
  <si>
    <t>P73114-5189</t>
  </si>
  <si>
    <t>Nutritional Literacy Funding</t>
  </si>
  <si>
    <t>P73114-5241</t>
  </si>
  <si>
    <t>Healthy Minds</t>
  </si>
  <si>
    <t>P73302-3451</t>
  </si>
  <si>
    <t>EAL Tutoring</t>
  </si>
  <si>
    <t>P73500-3431</t>
  </si>
  <si>
    <t>First Nations Education</t>
  </si>
  <si>
    <t>P72405-P73913</t>
  </si>
  <si>
    <t>Other Programs (includes Adm mtgs)</t>
  </si>
  <si>
    <t>P73914-3431</t>
  </si>
  <si>
    <t>Youth Futures</t>
  </si>
  <si>
    <t>TOTAL PROGRAMS</t>
  </si>
  <si>
    <t>INFORMATION TECHNOLOGY</t>
  </si>
  <si>
    <t>P72402-3431</t>
  </si>
  <si>
    <t>I.T. Technician Salaries</t>
  </si>
  <si>
    <t>P72402-6071</t>
  </si>
  <si>
    <t>TOTAL INFORMATION TECHNOLOGY</t>
  </si>
  <si>
    <t>FACILITIES</t>
  </si>
  <si>
    <t>P74100-3431</t>
  </si>
  <si>
    <t>Custodial &amp; Maintenance Wages</t>
  </si>
  <si>
    <t>P74100-3432</t>
  </si>
  <si>
    <t>Overtime Pay</t>
  </si>
  <si>
    <t>P74100-3435</t>
  </si>
  <si>
    <t>Night &amp; split shift premiums</t>
  </si>
  <si>
    <t>P74100-3451</t>
  </si>
  <si>
    <t>Casual Pay</t>
  </si>
  <si>
    <t>P74100-3466</t>
  </si>
  <si>
    <t>Custodian Replacement Costs</t>
  </si>
  <si>
    <t>P74100-4252</t>
  </si>
  <si>
    <t>Electricity</t>
  </si>
  <si>
    <t>P74100-4255</t>
  </si>
  <si>
    <t>Water &amp; Sewer</t>
  </si>
  <si>
    <t>P74100-4509</t>
  </si>
  <si>
    <t>Other  Operating Expenses</t>
  </si>
  <si>
    <t>P74100-4511</t>
  </si>
  <si>
    <t>Contracted Cleaning</t>
  </si>
  <si>
    <t>P74100-4513</t>
  </si>
  <si>
    <t>Garbage Removal</t>
  </si>
  <si>
    <t>P74100-4514</t>
  </si>
  <si>
    <t>Minor Repairs</t>
  </si>
  <si>
    <t>P74100-4519</t>
  </si>
  <si>
    <t>Other Building Services</t>
  </si>
  <si>
    <t>P74100-4711</t>
  </si>
  <si>
    <t>Snow Removal</t>
  </si>
  <si>
    <t>P74100-4721</t>
  </si>
  <si>
    <t>Facility Rentals</t>
  </si>
  <si>
    <t>P74100-4731</t>
  </si>
  <si>
    <t>Maintenance Vehicle Expenses</t>
  </si>
  <si>
    <t>P74100-4904</t>
  </si>
  <si>
    <t>P74100-5331</t>
  </si>
  <si>
    <t>Heating Fuel</t>
  </si>
  <si>
    <t>P74100-5332</t>
  </si>
  <si>
    <t>Natural Gas</t>
  </si>
  <si>
    <t>P74100-5339</t>
  </si>
  <si>
    <t>Wood Pellets</t>
  </si>
  <si>
    <t>P74100-5413</t>
  </si>
  <si>
    <t>Cleaning Supplies</t>
  </si>
  <si>
    <t>P74100-6479</t>
  </si>
  <si>
    <t xml:space="preserve">Operating Expenses </t>
  </si>
  <si>
    <t>P74102-4769</t>
  </si>
  <si>
    <t>P74104-5413</t>
  </si>
  <si>
    <t>P74103-P74120</t>
  </si>
  <si>
    <t>Maintenance Projects</t>
  </si>
  <si>
    <t>TOTAL FACILITIES</t>
  </si>
  <si>
    <t>TRANSPORTATION</t>
  </si>
  <si>
    <t>P75100-3431</t>
  </si>
  <si>
    <t>Bus Driver Wages</t>
  </si>
  <si>
    <t>P75100-3432</t>
  </si>
  <si>
    <t>P75100-3451</t>
  </si>
  <si>
    <t>P75100-3466</t>
  </si>
  <si>
    <t>Bus Driver Replacement Costs</t>
  </si>
  <si>
    <t>P75100-4554</t>
  </si>
  <si>
    <t>Contracted Conveyances</t>
  </si>
  <si>
    <t>P75100-4731</t>
  </si>
  <si>
    <t>Bus Operations</t>
  </si>
  <si>
    <t>P75100-4904</t>
  </si>
  <si>
    <t>TOTAL TRANSPORTATION</t>
  </si>
  <si>
    <t>DISTRICT OPERATIONS</t>
  </si>
  <si>
    <t>DECs &amp; PSSCs</t>
  </si>
  <si>
    <t>P76100-3449</t>
  </si>
  <si>
    <t>DEC Compensation</t>
  </si>
  <si>
    <t>P76100-4505</t>
  </si>
  <si>
    <t>DEC / PSSC Operating Expenses</t>
  </si>
  <si>
    <t>TOTAL DECs &amp; PSSCs</t>
  </si>
  <si>
    <t>DISTRICT MANAGEMENT</t>
  </si>
  <si>
    <t>P76200-3431</t>
  </si>
  <si>
    <t>District Management Salaries</t>
  </si>
  <si>
    <t>P76200-3451</t>
  </si>
  <si>
    <t>P76200-4904</t>
  </si>
  <si>
    <t>P76600-4801</t>
  </si>
  <si>
    <t>Occupational Health &amp; Safety</t>
  </si>
  <si>
    <t>TOTAL DISTRICT MANAGEMENT</t>
  </si>
  <si>
    <t>TOTAL DISTRICT OPERATIONS</t>
  </si>
  <si>
    <t>BENEFITS</t>
  </si>
  <si>
    <t>P77100-3429</t>
  </si>
  <si>
    <t>Other Pension</t>
  </si>
  <si>
    <t>P77100-3434</t>
  </si>
  <si>
    <t>Standby Pay</t>
  </si>
  <si>
    <t>P77100-3438</t>
  </si>
  <si>
    <t>Retirement Allowances</t>
  </si>
  <si>
    <t>P77100-3441</t>
  </si>
  <si>
    <t>Vacation Pay</t>
  </si>
  <si>
    <t>P77100-3451</t>
  </si>
  <si>
    <t>P77100-3463</t>
  </si>
  <si>
    <t>Vacation Pay - Casual</t>
  </si>
  <si>
    <t>P77100-3466</t>
  </si>
  <si>
    <t>Worksafe N.B.</t>
  </si>
  <si>
    <t>P77100-3467</t>
  </si>
  <si>
    <t>Supply Days</t>
  </si>
  <si>
    <t>P77100-3601</t>
  </si>
  <si>
    <t>Group Insurance</t>
  </si>
  <si>
    <t>P77100-3602</t>
  </si>
  <si>
    <t>Canada Pension Plan</t>
  </si>
  <si>
    <t>P77100-3603</t>
  </si>
  <si>
    <t>Health &amp; Dental Insurance</t>
  </si>
  <si>
    <t>P77100-3604</t>
  </si>
  <si>
    <t>Employment Insurance</t>
  </si>
  <si>
    <t>P77100-3704</t>
  </si>
  <si>
    <t>Dry Cleaning Allowance</t>
  </si>
  <si>
    <t>P77100-3705</t>
  </si>
  <si>
    <t>Block Heater Allowance</t>
  </si>
  <si>
    <t>P77100-3706</t>
  </si>
  <si>
    <t>Bus Driver Medical</t>
  </si>
  <si>
    <t>P77100-3709</t>
  </si>
  <si>
    <t>Other Benefits</t>
  </si>
  <si>
    <t>P77100-3711</t>
  </si>
  <si>
    <t>Workers Compensation</t>
  </si>
  <si>
    <t>TOTAL BENEFITS</t>
  </si>
  <si>
    <t>PROJECTS</t>
  </si>
  <si>
    <t>P78105-3431</t>
  </si>
  <si>
    <t>Secondments</t>
  </si>
  <si>
    <t>P78100-P78199</t>
  </si>
  <si>
    <t>Other Projects</t>
  </si>
  <si>
    <t>TOTAL PROJECTS</t>
  </si>
  <si>
    <t>Accumulated Operating Surplus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</si>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</sst>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0;"/>
    <numFmt numFmtId="165" formatCode="[$-1009]d\-mmm\-yy;@"/>
    <numFmt numFmtId="166" formatCode="##,##0.00_);[Red]\(##,##0.00\);0.00_)"/>
    <numFmt numFmtId="167" formatCode="&quot;$&quot;#,##0"/>
    <numFmt numFmtId="168" formatCode="0.00%_);[Red]\(0.00%\);0.00%_)"/>
    <numFmt numFmtId="169" formatCode="&quot;$&quot;##,##0_);[Red]\(&quot;$&quot;##,##0\);&quot;$&quot;0_)"/>
    <numFmt numFmtId="170" formatCode="##,##0_);[Red]\(##,##0\);0_)"/>
    <numFmt numFmtId="171" formatCode="_-* #,##0\ _$_-;\-* #,##0\ _$_-;_-* &quot;-&quot;??\ _$_-;_-@_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Bookman Old Style"/>
      <family val="1"/>
    </font>
    <font>
      <sz val="10"/>
      <name val="Bookman Old Style"/>
      <family val="1"/>
    </font>
    <font>
      <sz val="8"/>
      <name val="Bookman Old Style"/>
      <family val="1"/>
    </font>
    <font>
      <b/>
      <sz val="12"/>
      <name val="Bookman Old Style"/>
      <family val="1"/>
    </font>
    <font>
      <b/>
      <sz val="12"/>
      <color rgb="FFFF0000"/>
      <name val="Bookman Old Style"/>
      <family val="1"/>
    </font>
    <font>
      <sz val="10"/>
      <name val="MS Sans Serif"/>
      <family val="2"/>
    </font>
    <font>
      <b/>
      <i/>
      <sz val="12"/>
      <color indexed="8"/>
      <name val="Arial"/>
      <family val="2"/>
    </font>
    <font>
      <sz val="10"/>
      <color rgb="FFFF0000"/>
      <name val="Bookman Old Style"/>
      <family val="1"/>
    </font>
    <font>
      <b/>
      <i/>
      <sz val="10"/>
      <name val="Bookman Old Style"/>
      <family val="1"/>
    </font>
    <font>
      <sz val="10"/>
      <name val="Arial"/>
      <family val="2"/>
    </font>
    <font>
      <b/>
      <u/>
      <sz val="10"/>
      <name val="Bookman Old Style"/>
      <family val="1"/>
    </font>
    <font>
      <b/>
      <i/>
      <sz val="10"/>
      <color rgb="FFFF0000"/>
      <name val="Bookman Old Style"/>
      <family val="1"/>
    </font>
    <font>
      <b/>
      <i/>
      <u/>
      <sz val="10"/>
      <name val="Bookman Old Style"/>
      <family val="1"/>
    </font>
    <font>
      <b/>
      <sz val="10"/>
      <name val="Arial Black"/>
      <family val="2"/>
    </font>
    <font>
      <i/>
      <sz val="9"/>
      <name val="Bookman Old Style"/>
      <family val="1"/>
    </font>
    <font>
      <sz val="9"/>
      <name val="Bookman Old Style"/>
      <family val="1"/>
    </font>
    <font>
      <b/>
      <sz val="10"/>
      <color rgb="FFFF0000"/>
      <name val="Bookman Old Style"/>
      <family val="1"/>
    </font>
    <font>
      <b/>
      <sz val="8"/>
      <name val="Bookman Old Style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1" fillId="0" borderId="0"/>
  </cellStyleXfs>
  <cellXfs count="3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5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/>
    <xf numFmtId="49" fontId="3" fillId="5" borderId="6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6" fontId="8" fillId="2" borderId="8" xfId="4" applyNumberFormat="1" applyFont="1" applyFill="1" applyBorder="1" applyAlignment="1">
      <alignment horizontal="center" vertical="center"/>
    </xf>
    <xf numFmtId="6" fontId="8" fillId="2" borderId="9" xfId="4" applyNumberFormat="1" applyFont="1" applyFill="1" applyBorder="1" applyAlignment="1">
      <alignment horizontal="center" vertical="center"/>
    </xf>
    <xf numFmtId="6" fontId="8" fillId="2" borderId="10" xfId="4" applyNumberFormat="1" applyFont="1" applyFill="1" applyBorder="1" applyAlignment="1">
      <alignment horizontal="center" vertical="center"/>
    </xf>
    <xf numFmtId="6" fontId="8" fillId="8" borderId="8" xfId="4" applyNumberFormat="1" applyFont="1" applyFill="1" applyBorder="1" applyAlignment="1">
      <alignment horizontal="center" vertical="center"/>
    </xf>
    <xf numFmtId="6" fontId="8" fillId="8" borderId="9" xfId="4" applyNumberFormat="1" applyFont="1" applyFill="1" applyBorder="1" applyAlignment="1">
      <alignment horizontal="center" vertical="center"/>
    </xf>
    <xf numFmtId="6" fontId="8" fillId="8" borderId="10" xfId="4" applyNumberFormat="1" applyFont="1" applyFill="1" applyBorder="1" applyAlignment="1">
      <alignment horizontal="center" vertical="center"/>
    </xf>
    <xf numFmtId="6" fontId="8" fillId="9" borderId="8" xfId="4" applyNumberFormat="1" applyFont="1" applyFill="1" applyBorder="1" applyAlignment="1">
      <alignment horizontal="center" vertical="center"/>
    </xf>
    <xf numFmtId="6" fontId="8" fillId="9" borderId="9" xfId="4" applyNumberFormat="1" applyFont="1" applyFill="1" applyBorder="1" applyAlignment="1">
      <alignment horizontal="center" vertical="center"/>
    </xf>
    <xf numFmtId="6" fontId="8" fillId="9" borderId="10" xfId="4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8" borderId="14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10" borderId="0" xfId="0" applyNumberFormat="1" applyFont="1" applyFill="1" applyAlignment="1">
      <alignment horizontal="center"/>
    </xf>
    <xf numFmtId="49" fontId="3" fillId="5" borderId="0" xfId="0" applyNumberFormat="1" applyFont="1" applyFill="1" applyAlignment="1">
      <alignment horizontal="center"/>
    </xf>
    <xf numFmtId="49" fontId="3" fillId="11" borderId="0" xfId="0" applyNumberFormat="1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6" fontId="8" fillId="2" borderId="14" xfId="4" applyNumberFormat="1" applyFont="1" applyFill="1" applyBorder="1" applyAlignment="1">
      <alignment horizontal="center" vertical="center"/>
    </xf>
    <xf numFmtId="6" fontId="8" fillId="2" borderId="16" xfId="4" applyNumberFormat="1" applyFont="1" applyFill="1" applyBorder="1" applyAlignment="1">
      <alignment horizontal="center" vertical="center"/>
    </xf>
    <xf numFmtId="6" fontId="8" fillId="2" borderId="15" xfId="4" applyNumberFormat="1" applyFont="1" applyFill="1" applyBorder="1" applyAlignment="1">
      <alignment horizontal="center" vertical="center"/>
    </xf>
    <xf numFmtId="6" fontId="8" fillId="8" borderId="14" xfId="4" applyNumberFormat="1" applyFont="1" applyFill="1" applyBorder="1" applyAlignment="1">
      <alignment horizontal="center" vertical="center"/>
    </xf>
    <xf numFmtId="6" fontId="8" fillId="8" borderId="16" xfId="4" applyNumberFormat="1" applyFont="1" applyFill="1" applyBorder="1" applyAlignment="1">
      <alignment horizontal="center" vertical="center"/>
    </xf>
    <xf numFmtId="6" fontId="8" fillId="8" borderId="15" xfId="4" applyNumberFormat="1" applyFont="1" applyFill="1" applyBorder="1" applyAlignment="1">
      <alignment horizontal="center" vertical="center"/>
    </xf>
    <xf numFmtId="6" fontId="8" fillId="9" borderId="14" xfId="4" applyNumberFormat="1" applyFont="1" applyFill="1" applyBorder="1" applyAlignment="1">
      <alignment horizontal="center" vertical="center"/>
    </xf>
    <xf numFmtId="6" fontId="8" fillId="9" borderId="16" xfId="4" applyNumberFormat="1" applyFont="1" applyFill="1" applyBorder="1" applyAlignment="1">
      <alignment horizontal="center" vertical="center"/>
    </xf>
    <xf numFmtId="6" fontId="8" fillId="9" borderId="15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5" fontId="3" fillId="7" borderId="14" xfId="0" applyNumberFormat="1" applyFont="1" applyFill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3" fillId="1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65" fontId="3" fillId="9" borderId="14" xfId="5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13" fontId="8" fillId="2" borderId="14" xfId="4" quotePrefix="1" applyNumberFormat="1" applyFont="1" applyFill="1" applyBorder="1" applyAlignment="1">
      <alignment horizontal="center" vertical="center"/>
    </xf>
    <xf numFmtId="13" fontId="8" fillId="2" borderId="16" xfId="4" quotePrefix="1" applyNumberFormat="1" applyFont="1" applyFill="1" applyBorder="1" applyAlignment="1">
      <alignment horizontal="center" vertical="center"/>
    </xf>
    <xf numFmtId="13" fontId="8" fillId="2" borderId="15" xfId="4" quotePrefix="1" applyNumberFormat="1" applyFont="1" applyFill="1" applyBorder="1" applyAlignment="1">
      <alignment horizontal="center" vertical="center"/>
    </xf>
    <xf numFmtId="13" fontId="8" fillId="8" borderId="14" xfId="4" quotePrefix="1" applyNumberFormat="1" applyFont="1" applyFill="1" applyBorder="1" applyAlignment="1">
      <alignment horizontal="center" vertical="center"/>
    </xf>
    <xf numFmtId="13" fontId="8" fillId="8" borderId="16" xfId="4" quotePrefix="1" applyNumberFormat="1" applyFont="1" applyFill="1" applyBorder="1" applyAlignment="1">
      <alignment horizontal="center" vertical="center"/>
    </xf>
    <xf numFmtId="13" fontId="8" fillId="8" borderId="15" xfId="4" quotePrefix="1" applyNumberFormat="1" applyFont="1" applyFill="1" applyBorder="1" applyAlignment="1">
      <alignment horizontal="center" vertical="center"/>
    </xf>
    <xf numFmtId="13" fontId="8" fillId="9" borderId="14" xfId="4" quotePrefix="1" applyNumberFormat="1" applyFont="1" applyFill="1" applyBorder="1" applyAlignment="1">
      <alignment horizontal="center" vertical="center"/>
    </xf>
    <xf numFmtId="13" fontId="8" fillId="9" borderId="16" xfId="4" quotePrefix="1" applyNumberFormat="1" applyFont="1" applyFill="1" applyBorder="1" applyAlignment="1">
      <alignment horizontal="center" vertical="center"/>
    </xf>
    <xf numFmtId="13" fontId="8" fillId="9" borderId="15" xfId="4" quotePrefix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7" xfId="0" applyFont="1" applyBorder="1"/>
    <xf numFmtId="165" fontId="3" fillId="7" borderId="18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8" borderId="18" xfId="0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/>
    </xf>
    <xf numFmtId="165" fontId="10" fillId="5" borderId="1" xfId="0" applyNumberFormat="1" applyFont="1" applyFill="1" applyBorder="1" applyAlignment="1">
      <alignment horizontal="center"/>
    </xf>
    <xf numFmtId="165" fontId="3" fillId="0" borderId="18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4" fillId="0" borderId="18" xfId="0" applyFont="1" applyBorder="1" applyAlignment="1">
      <alignment horizontal="left"/>
    </xf>
    <xf numFmtId="0" fontId="3" fillId="2" borderId="18" xfId="0" applyFont="1" applyFill="1" applyBorder="1"/>
    <xf numFmtId="0" fontId="3" fillId="2" borderId="21" xfId="0" applyFont="1" applyFill="1" applyBorder="1"/>
    <xf numFmtId="0" fontId="3" fillId="2" borderId="17" xfId="0" applyFont="1" applyFill="1" applyBorder="1"/>
    <xf numFmtId="0" fontId="3" fillId="8" borderId="18" xfId="0" applyFont="1" applyFill="1" applyBorder="1"/>
    <xf numFmtId="0" fontId="3" fillId="8" borderId="21" xfId="0" applyFont="1" applyFill="1" applyBorder="1"/>
    <xf numFmtId="0" fontId="3" fillId="8" borderId="17" xfId="0" applyFont="1" applyFill="1" applyBorder="1"/>
    <xf numFmtId="0" fontId="3" fillId="9" borderId="18" xfId="0" applyFont="1" applyFill="1" applyBorder="1"/>
    <xf numFmtId="0" fontId="3" fillId="9" borderId="21" xfId="0" applyFont="1" applyFill="1" applyBorder="1"/>
    <xf numFmtId="0" fontId="3" fillId="9" borderId="17" xfId="0" applyFont="1" applyFill="1" applyBorder="1"/>
    <xf numFmtId="0" fontId="3" fillId="0" borderId="8" xfId="0" applyFont="1" applyBorder="1"/>
    <xf numFmtId="0" fontId="3" fillId="0" borderId="10" xfId="0" applyFont="1" applyBorder="1"/>
    <xf numFmtId="0" fontId="3" fillId="0" borderId="14" xfId="0" applyFont="1" applyBorder="1"/>
    <xf numFmtId="0" fontId="2" fillId="0" borderId="14" xfId="0" applyFont="1" applyBorder="1"/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16" xfId="0" applyFont="1" applyBorder="1"/>
    <xf numFmtId="0" fontId="3" fillId="0" borderId="15" xfId="0" applyFont="1" applyBorder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4" fontId="3" fillId="7" borderId="14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6" fontId="3" fillId="0" borderId="15" xfId="0" applyNumberFormat="1" applyFont="1" applyBorder="1" applyAlignment="1">
      <alignment horizontal="right" vertical="center"/>
    </xf>
    <xf numFmtId="167" fontId="3" fillId="0" borderId="14" xfId="1" applyNumberFormat="1" applyFont="1" applyFill="1" applyBorder="1" applyAlignment="1" applyProtection="1">
      <alignment horizontal="right"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/>
    <xf numFmtId="168" fontId="11" fillId="0" borderId="0" xfId="3" applyNumberFormat="1" applyFont="1" applyFill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/>
    </xf>
    <xf numFmtId="168" fontId="3" fillId="0" borderId="15" xfId="3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7" fontId="3" fillId="0" borderId="14" xfId="0" applyNumberFormat="1" applyFont="1" applyBorder="1" applyAlignment="1">
      <alignment horizontal="right" vertical="center"/>
    </xf>
    <xf numFmtId="169" fontId="3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9" fontId="3" fillId="0" borderId="0" xfId="0" applyNumberFormat="1" applyFont="1" applyAlignment="1">
      <alignment horizontal="right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169" fontId="3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" fontId="3" fillId="0" borderId="14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4" fontId="3" fillId="0" borderId="15" xfId="0" applyNumberFormat="1" applyFont="1" applyBorder="1" applyAlignment="1">
      <alignment horizontal="center" vertical="top"/>
    </xf>
    <xf numFmtId="3" fontId="3" fillId="0" borderId="14" xfId="0" applyNumberFormat="1" applyFont="1" applyBorder="1" applyAlignment="1">
      <alignment vertical="center"/>
    </xf>
    <xf numFmtId="38" fontId="3" fillId="0" borderId="0" xfId="1" applyNumberFormat="1" applyFont="1" applyFill="1" applyBorder="1" applyAlignment="1" applyProtection="1">
      <alignment vertical="center"/>
    </xf>
    <xf numFmtId="170" fontId="3" fillId="0" borderId="0" xfId="0" applyNumberFormat="1" applyFont="1" applyAlignment="1">
      <alignment vertical="top"/>
    </xf>
    <xf numFmtId="37" fontId="3" fillId="0" borderId="14" xfId="1" applyNumberFormat="1" applyFont="1" applyFill="1" applyBorder="1" applyAlignment="1" applyProtection="1">
      <alignment vertical="center"/>
    </xf>
    <xf numFmtId="37" fontId="3" fillId="0" borderId="0" xfId="1" applyNumberFormat="1" applyFont="1" applyFill="1" applyBorder="1" applyAlignment="1" applyProtection="1">
      <alignment vertical="top"/>
    </xf>
    <xf numFmtId="38" fontId="3" fillId="0" borderId="0" xfId="1" applyNumberFormat="1" applyFont="1" applyFill="1" applyBorder="1" applyAlignment="1" applyProtection="1">
      <alignment vertical="top"/>
    </xf>
    <xf numFmtId="168" fontId="11" fillId="0" borderId="0" xfId="3" applyNumberFormat="1" applyFont="1" applyFill="1" applyBorder="1" applyAlignment="1">
      <alignment horizontal="right"/>
    </xf>
    <xf numFmtId="170" fontId="3" fillId="0" borderId="14" xfId="0" applyNumberFormat="1" applyFont="1" applyBorder="1" applyAlignment="1">
      <alignment vertical="top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70" fontId="3" fillId="0" borderId="1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5" xfId="0" applyNumberFormat="1" applyFont="1" applyBorder="1" applyAlignment="1">
      <alignment vertical="center"/>
    </xf>
    <xf numFmtId="37" fontId="3" fillId="0" borderId="0" xfId="1" applyNumberFormat="1" applyFont="1" applyFill="1" applyBorder="1" applyAlignment="1" applyProtection="1">
      <alignment vertical="center"/>
    </xf>
    <xf numFmtId="168" fontId="3" fillId="0" borderId="14" xfId="3" applyNumberFormat="1" applyFont="1" applyFill="1" applyBorder="1" applyAlignment="1">
      <alignment horizontal="left" vertical="center" wrapText="1"/>
    </xf>
    <xf numFmtId="168" fontId="3" fillId="0" borderId="7" xfId="3" applyNumberFormat="1" applyFont="1" applyFill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15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7" fontId="3" fillId="0" borderId="0" xfId="1" applyNumberFormat="1" applyFont="1" applyFill="1" applyBorder="1" applyProtection="1"/>
    <xf numFmtId="37" fontId="3" fillId="0" borderId="14" xfId="1" applyNumberFormat="1" applyFont="1" applyFill="1" applyBorder="1" applyProtection="1"/>
    <xf numFmtId="168" fontId="3" fillId="0" borderId="14" xfId="3" applyNumberFormat="1" applyFont="1" applyFill="1" applyBorder="1" applyAlignment="1">
      <alignment horizontal="right"/>
    </xf>
    <xf numFmtId="168" fontId="3" fillId="0" borderId="7" xfId="3" applyNumberFormat="1" applyFont="1" applyFill="1" applyBorder="1" applyAlignment="1">
      <alignment horizontal="right"/>
    </xf>
    <xf numFmtId="3" fontId="3" fillId="0" borderId="14" xfId="0" applyNumberFormat="1" applyFont="1" applyBorder="1"/>
    <xf numFmtId="3" fontId="3" fillId="0" borderId="0" xfId="0" applyNumberFormat="1" applyFont="1" applyAlignment="1">
      <alignment horizontal="right"/>
    </xf>
    <xf numFmtId="4" fontId="3" fillId="0" borderId="22" xfId="1" applyNumberFormat="1" applyFont="1" applyFill="1" applyBorder="1" applyProtection="1"/>
    <xf numFmtId="4" fontId="3" fillId="0" borderId="23" xfId="1" applyNumberFormat="1" applyFont="1" applyFill="1" applyBorder="1" applyProtection="1"/>
    <xf numFmtId="166" fontId="3" fillId="0" borderId="24" xfId="0" applyNumberFormat="1" applyFont="1" applyBorder="1" applyAlignment="1">
      <alignment vertical="top"/>
    </xf>
    <xf numFmtId="167" fontId="3" fillId="0" borderId="23" xfId="1" applyNumberFormat="1" applyFont="1" applyFill="1" applyBorder="1" applyAlignment="1" applyProtection="1">
      <alignment vertical="top"/>
    </xf>
    <xf numFmtId="6" fontId="3" fillId="0" borderId="23" xfId="0" applyNumberFormat="1" applyFont="1" applyBorder="1" applyAlignment="1">
      <alignment vertical="top"/>
    </xf>
    <xf numFmtId="167" fontId="3" fillId="0" borderId="23" xfId="1" applyNumberFormat="1" applyFont="1" applyFill="1" applyBorder="1" applyProtection="1"/>
    <xf numFmtId="38" fontId="3" fillId="0" borderId="23" xfId="1" applyNumberFormat="1" applyFont="1" applyFill="1" applyBorder="1" applyAlignment="1" applyProtection="1">
      <alignment horizontal="right" vertical="center"/>
    </xf>
    <xf numFmtId="167" fontId="3" fillId="0" borderId="22" xfId="1" applyNumberFormat="1" applyFont="1" applyFill="1" applyBorder="1" applyProtection="1"/>
    <xf numFmtId="168" fontId="11" fillId="0" borderId="23" xfId="3" applyNumberFormat="1" applyFont="1" applyFill="1" applyBorder="1" applyAlignment="1">
      <alignment horizontal="right"/>
    </xf>
    <xf numFmtId="169" fontId="3" fillId="0" borderId="22" xfId="0" applyNumberFormat="1" applyFont="1" applyBorder="1"/>
    <xf numFmtId="168" fontId="3" fillId="0" borderId="24" xfId="3" applyNumberFormat="1" applyFont="1" applyFill="1" applyBorder="1" applyAlignment="1">
      <alignment horizontal="right"/>
    </xf>
    <xf numFmtId="168" fontId="3" fillId="0" borderId="22" xfId="3" applyNumberFormat="1" applyFont="1" applyFill="1" applyBorder="1" applyAlignment="1">
      <alignment horizontal="right"/>
    </xf>
    <xf numFmtId="167" fontId="3" fillId="0" borderId="22" xfId="0" applyNumberFormat="1" applyFont="1" applyBorder="1"/>
    <xf numFmtId="6" fontId="3" fillId="0" borderId="2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/>
    <xf numFmtId="4" fontId="3" fillId="0" borderId="15" xfId="0" applyNumberFormat="1" applyFont="1" applyBorder="1"/>
    <xf numFmtId="167" fontId="3" fillId="0" borderId="0" xfId="1" applyNumberFormat="1" applyFont="1" applyFill="1" applyBorder="1" applyProtection="1"/>
    <xf numFmtId="167" fontId="3" fillId="0" borderId="14" xfId="1" applyNumberFormat="1" applyFont="1" applyFill="1" applyBorder="1" applyProtection="1"/>
    <xf numFmtId="167" fontId="3" fillId="0" borderId="26" xfId="1" applyNumberFormat="1" applyFont="1" applyFill="1" applyBorder="1" applyProtection="1"/>
    <xf numFmtId="169" fontId="3" fillId="0" borderId="14" xfId="0" applyNumberFormat="1" applyFont="1" applyBorder="1"/>
    <xf numFmtId="168" fontId="3" fillId="0" borderId="15" xfId="3" applyNumberFormat="1" applyFont="1" applyBorder="1" applyAlignment="1" applyProtection="1">
      <alignment horizontal="right"/>
    </xf>
    <xf numFmtId="168" fontId="3" fillId="0" borderId="14" xfId="3" applyNumberFormat="1" applyFont="1" applyFill="1" applyBorder="1" applyAlignment="1" applyProtection="1">
      <alignment horizontal="right"/>
    </xf>
    <xf numFmtId="168" fontId="3" fillId="0" borderId="7" xfId="3" applyNumberFormat="1" applyFont="1" applyFill="1" applyBorder="1" applyAlignment="1" applyProtection="1">
      <alignment horizontal="right"/>
    </xf>
    <xf numFmtId="37" fontId="13" fillId="0" borderId="0" xfId="1" applyNumberFormat="1" applyFont="1" applyFill="1" applyBorder="1" applyProtection="1"/>
    <xf numFmtId="37" fontId="13" fillId="0" borderId="0" xfId="1" applyNumberFormat="1" applyFont="1" applyFill="1" applyProtection="1"/>
    <xf numFmtId="0" fontId="13" fillId="0" borderId="0" xfId="0" applyFont="1"/>
    <xf numFmtId="0" fontId="13" fillId="0" borderId="14" xfId="0" applyFont="1" applyBorder="1"/>
    <xf numFmtId="0" fontId="13" fillId="0" borderId="7" xfId="0" applyFont="1" applyBorder="1"/>
    <xf numFmtId="170" fontId="3" fillId="0" borderId="14" xfId="0" applyNumberFormat="1" applyFont="1" applyBorder="1"/>
    <xf numFmtId="168" fontId="3" fillId="0" borderId="15" xfId="3" applyNumberFormat="1" applyFont="1" applyBorder="1" applyAlignment="1">
      <alignment horizontal="right"/>
    </xf>
    <xf numFmtId="37" fontId="3" fillId="0" borderId="0" xfId="1" applyNumberFormat="1" applyFont="1" applyFill="1" applyProtection="1"/>
    <xf numFmtId="37" fontId="3" fillId="0" borderId="0" xfId="1" applyNumberFormat="1" applyFont="1" applyFill="1" applyAlignment="1" applyProtection="1">
      <alignment vertical="center"/>
    </xf>
    <xf numFmtId="170" fontId="3" fillId="0" borderId="7" xfId="0" applyNumberFormat="1" applyFont="1" applyBorder="1" applyAlignment="1">
      <alignment vertical="top"/>
    </xf>
    <xf numFmtId="170" fontId="3" fillId="0" borderId="14" xfId="0" applyNumberFormat="1" applyFont="1" applyBorder="1" applyAlignment="1">
      <alignment vertical="center"/>
    </xf>
    <xf numFmtId="43" fontId="3" fillId="0" borderId="14" xfId="1" applyFont="1" applyFill="1" applyBorder="1" applyAlignment="1">
      <alignment horizontal="left" vertical="center" wrapText="1"/>
    </xf>
    <xf numFmtId="43" fontId="3" fillId="0" borderId="7" xfId="1" applyFont="1" applyFill="1" applyBorder="1" applyAlignment="1">
      <alignment horizontal="left" vertical="center" wrapText="1"/>
    </xf>
    <xf numFmtId="170" fontId="3" fillId="0" borderId="1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168" fontId="3" fillId="0" borderId="14" xfId="3" applyNumberFormat="1" applyFont="1" applyFill="1" applyBorder="1" applyAlignment="1">
      <alignment horizontal="left"/>
    </xf>
    <xf numFmtId="168" fontId="3" fillId="0" borderId="7" xfId="3" applyNumberFormat="1" applyFont="1" applyFill="1" applyBorder="1" applyAlignment="1">
      <alignment horizontal="left"/>
    </xf>
    <xf numFmtId="170" fontId="3" fillId="0" borderId="16" xfId="0" applyNumberFormat="1" applyFont="1" applyBorder="1" applyAlignment="1">
      <alignment vertical="top"/>
    </xf>
    <xf numFmtId="168" fontId="3" fillId="0" borderId="15" xfId="3" applyNumberFormat="1" applyFont="1" applyFill="1" applyBorder="1" applyAlignment="1">
      <alignment horizontal="right"/>
    </xf>
    <xf numFmtId="166" fontId="3" fillId="0" borderId="15" xfId="0" applyNumberFormat="1" applyFont="1" applyBorder="1" applyAlignment="1">
      <alignment vertical="top"/>
    </xf>
    <xf numFmtId="4" fontId="3" fillId="0" borderId="22" xfId="1" applyNumberFormat="1" applyFont="1" applyBorder="1" applyProtection="1"/>
    <xf numFmtId="169" fontId="3" fillId="0" borderId="23" xfId="0" applyNumberFormat="1" applyFont="1" applyBorder="1" applyAlignment="1">
      <alignment horizontal="right" vertical="center"/>
    </xf>
    <xf numFmtId="169" fontId="3" fillId="0" borderId="27" xfId="0" applyNumberFormat="1" applyFont="1" applyBorder="1"/>
    <xf numFmtId="169" fontId="3" fillId="0" borderId="25" xfId="0" applyNumberFormat="1" applyFont="1" applyBorder="1"/>
    <xf numFmtId="168" fontId="11" fillId="0" borderId="7" xfId="3" applyNumberFormat="1" applyFont="1" applyFill="1" applyBorder="1" applyAlignment="1">
      <alignment horizontal="right" vertical="center"/>
    </xf>
    <xf numFmtId="170" fontId="3" fillId="0" borderId="14" xfId="1" applyNumberFormat="1" applyFont="1" applyFill="1" applyBorder="1" applyProtection="1"/>
    <xf numFmtId="37" fontId="3" fillId="0" borderId="7" xfId="1" applyNumberFormat="1" applyFont="1" applyFill="1" applyBorder="1" applyProtection="1"/>
    <xf numFmtId="167" fontId="3" fillId="0" borderId="14" xfId="0" applyNumberFormat="1" applyFont="1" applyBorder="1" applyAlignment="1">
      <alignment vertical="top"/>
    </xf>
    <xf numFmtId="3" fontId="3" fillId="0" borderId="14" xfId="0" applyNumberFormat="1" applyFont="1" applyBorder="1" applyAlignment="1">
      <alignment vertical="top"/>
    </xf>
    <xf numFmtId="167" fontId="3" fillId="0" borderId="0" xfId="1" applyNumberFormat="1" applyFont="1" applyFill="1" applyProtection="1"/>
    <xf numFmtId="37" fontId="3" fillId="0" borderId="0" xfId="1" applyNumberFormat="1" applyFont="1" applyFill="1" applyProtection="1">
      <protection locked="0"/>
    </xf>
    <xf numFmtId="167" fontId="3" fillId="0" borderId="14" xfId="1" applyNumberFormat="1" applyFont="1" applyFill="1" applyBorder="1" applyAlignment="1" applyProtection="1">
      <alignment vertical="top"/>
    </xf>
    <xf numFmtId="167" fontId="3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/>
    </xf>
    <xf numFmtId="37" fontId="3" fillId="0" borderId="14" xfId="1" applyNumberFormat="1" applyFont="1" applyFill="1" applyBorder="1" applyAlignment="1" applyProtection="1">
      <alignment vertical="top"/>
    </xf>
    <xf numFmtId="44" fontId="3" fillId="0" borderId="14" xfId="2" applyFont="1" applyFill="1" applyBorder="1" applyAlignment="1">
      <alignment horizontal="left" vertical="center" wrapText="1"/>
    </xf>
    <xf numFmtId="44" fontId="3" fillId="0" borderId="7" xfId="2" applyFont="1" applyFill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top"/>
    </xf>
    <xf numFmtId="6" fontId="3" fillId="0" borderId="23" xfId="1" applyNumberFormat="1" applyFont="1" applyFill="1" applyBorder="1" applyProtection="1"/>
    <xf numFmtId="169" fontId="3" fillId="0" borderId="16" xfId="0" applyNumberFormat="1" applyFont="1" applyBorder="1"/>
    <xf numFmtId="37" fontId="3" fillId="0" borderId="14" xfId="1" applyNumberFormat="1" applyFont="1" applyFill="1" applyBorder="1" applyProtection="1">
      <protection locked="0"/>
    </xf>
    <xf numFmtId="37" fontId="3" fillId="0" borderId="0" xfId="1" applyNumberFormat="1" applyFont="1" applyFill="1" applyBorder="1" applyProtection="1">
      <protection locked="0"/>
    </xf>
    <xf numFmtId="37" fontId="3" fillId="0" borderId="28" xfId="1" applyNumberFormat="1" applyFont="1" applyFill="1" applyBorder="1" applyProtection="1"/>
    <xf numFmtId="37" fontId="3" fillId="0" borderId="29" xfId="1" applyNumberFormat="1" applyFont="1" applyFill="1" applyBorder="1" applyProtection="1"/>
    <xf numFmtId="167" fontId="3" fillId="0" borderId="7" xfId="1" applyNumberFormat="1" applyFont="1" applyFill="1" applyBorder="1" applyProtection="1"/>
    <xf numFmtId="37" fontId="3" fillId="0" borderId="23" xfId="1" applyNumberFormat="1" applyFont="1" applyFill="1" applyBorder="1" applyProtection="1">
      <protection locked="0"/>
    </xf>
    <xf numFmtId="167" fontId="3" fillId="0" borderId="0" xfId="1" applyNumberFormat="1" applyFont="1" applyFill="1" applyAlignment="1" applyProtection="1">
      <alignment vertical="center"/>
    </xf>
    <xf numFmtId="167" fontId="3" fillId="0" borderId="14" xfId="1" applyNumberFormat="1" applyFont="1" applyFill="1" applyBorder="1" applyAlignment="1" applyProtection="1">
      <alignment vertical="center"/>
    </xf>
    <xf numFmtId="167" fontId="3" fillId="0" borderId="0" xfId="1" applyNumberFormat="1" applyFont="1" applyFill="1" applyBorder="1" applyAlignment="1" applyProtection="1">
      <alignment vertical="center"/>
    </xf>
    <xf numFmtId="169" fontId="3" fillId="0" borderId="14" xfId="0" applyNumberFormat="1" applyFont="1" applyBorder="1" applyAlignment="1">
      <alignment vertical="center"/>
    </xf>
    <xf numFmtId="169" fontId="3" fillId="0" borderId="16" xfId="0" applyNumberFormat="1" applyFont="1" applyBorder="1" applyAlignment="1">
      <alignment vertical="center"/>
    </xf>
    <xf numFmtId="166" fontId="3" fillId="0" borderId="15" xfId="0" applyNumberFormat="1" applyFont="1" applyBorder="1" applyAlignment="1">
      <alignment vertical="center"/>
    </xf>
    <xf numFmtId="37" fontId="3" fillId="0" borderId="0" xfId="1" applyNumberFormat="1" applyFont="1" applyFill="1" applyAlignment="1" applyProtection="1">
      <alignment vertical="center"/>
      <protection locked="0"/>
    </xf>
    <xf numFmtId="37" fontId="3" fillId="0" borderId="14" xfId="1" applyNumberFormat="1" applyFont="1" applyFill="1" applyBorder="1" applyAlignment="1" applyProtection="1">
      <alignment vertical="center"/>
      <protection locked="0"/>
    </xf>
    <xf numFmtId="37" fontId="3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/>
    </xf>
    <xf numFmtId="4" fontId="4" fillId="0" borderId="14" xfId="0" applyNumberFormat="1" applyFont="1" applyBorder="1"/>
    <xf numFmtId="170" fontId="3" fillId="0" borderId="15" xfId="0" applyNumberFormat="1" applyFont="1" applyBorder="1"/>
    <xf numFmtId="170" fontId="3" fillId="0" borderId="7" xfId="0" applyNumberFormat="1" applyFont="1" applyBorder="1"/>
    <xf numFmtId="168" fontId="3" fillId="0" borderId="15" xfId="3" applyNumberFormat="1" applyFont="1" applyFill="1" applyBorder="1" applyAlignment="1">
      <alignment horizontal="right" vertical="top"/>
    </xf>
    <xf numFmtId="4" fontId="3" fillId="0" borderId="14" xfId="0" applyNumberFormat="1" applyFont="1" applyBorder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3" fillId="0" borderId="15" xfId="0" applyNumberFormat="1" applyFont="1" applyBorder="1" applyAlignment="1">
      <alignment horizontal="left" vertical="center"/>
    </xf>
    <xf numFmtId="37" fontId="3" fillId="0" borderId="0" xfId="1" applyNumberFormat="1" applyFont="1" applyFill="1" applyAlignment="1" applyProtection="1">
      <alignment horizontal="right" vertical="center"/>
      <protection locked="0"/>
    </xf>
    <xf numFmtId="37" fontId="3" fillId="0" borderId="14" xfId="1" applyNumberFormat="1" applyFont="1" applyFill="1" applyBorder="1" applyAlignment="1" applyProtection="1">
      <alignment horizontal="right" vertical="center"/>
      <protection locked="0"/>
    </xf>
    <xf numFmtId="37" fontId="3" fillId="0" borderId="0" xfId="1" applyNumberFormat="1" applyFont="1" applyFill="1" applyBorder="1" applyAlignment="1" applyProtection="1">
      <alignment horizontal="right" vertical="center"/>
      <protection locked="0"/>
    </xf>
    <xf numFmtId="168" fontId="3" fillId="0" borderId="29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6" fontId="3" fillId="0" borderId="0" xfId="0" applyNumberFormat="1" applyFont="1"/>
    <xf numFmtId="168" fontId="15" fillId="0" borderId="14" xfId="3" applyNumberFormat="1" applyFont="1" applyFill="1" applyBorder="1" applyAlignment="1">
      <alignment horizontal="center"/>
    </xf>
    <xf numFmtId="168" fontId="15" fillId="0" borderId="7" xfId="3" applyNumberFormat="1" applyFont="1" applyFill="1" applyBorder="1" applyAlignment="1">
      <alignment horizontal="center"/>
    </xf>
    <xf numFmtId="170" fontId="3" fillId="0" borderId="0" xfId="0" applyNumberFormat="1" applyFont="1" applyAlignment="1">
      <alignment horizontal="right" vertical="center"/>
    </xf>
    <xf numFmtId="170" fontId="3" fillId="0" borderId="0" xfId="0" applyNumberFormat="1" applyFont="1"/>
    <xf numFmtId="3" fontId="3" fillId="0" borderId="0" xfId="0" applyNumberFormat="1" applyFont="1"/>
    <xf numFmtId="4" fontId="3" fillId="0" borderId="23" xfId="1" applyNumberFormat="1" applyFont="1" applyBorder="1" applyProtection="1"/>
    <xf numFmtId="0" fontId="3" fillId="0" borderId="25" xfId="0" applyFont="1" applyBorder="1"/>
    <xf numFmtId="4" fontId="3" fillId="0" borderId="13" xfId="0" applyNumberFormat="1" applyFont="1" applyBorder="1"/>
    <xf numFmtId="0" fontId="9" fillId="0" borderId="0" xfId="0" applyFont="1"/>
    <xf numFmtId="0" fontId="9" fillId="0" borderId="14" xfId="0" applyFont="1" applyBorder="1"/>
    <xf numFmtId="0" fontId="9" fillId="0" borderId="7" xfId="0" applyFont="1" applyBorder="1"/>
    <xf numFmtId="6" fontId="3" fillId="0" borderId="14" xfId="0" applyNumberFormat="1" applyFont="1" applyBorder="1"/>
    <xf numFmtId="37" fontId="3" fillId="0" borderId="0" xfId="1" applyNumberFormat="1" applyFont="1" applyFill="1" applyBorder="1" applyAlignment="1" applyProtection="1">
      <alignment vertical="top"/>
      <protection locked="0"/>
    </xf>
    <xf numFmtId="4" fontId="3" fillId="0" borderId="14" xfId="0" applyNumberFormat="1" applyFont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5" xfId="0" applyNumberFormat="1" applyFont="1" applyBorder="1" applyAlignment="1">
      <alignment vertical="top"/>
    </xf>
    <xf numFmtId="37" fontId="3" fillId="0" borderId="14" xfId="1" applyNumberFormat="1" applyFont="1" applyFill="1" applyBorder="1" applyAlignment="1" applyProtection="1">
      <alignment vertical="top"/>
      <protection locked="0"/>
    </xf>
    <xf numFmtId="37" fontId="3" fillId="0" borderId="0" xfId="1" applyNumberFormat="1" applyFont="1" applyFill="1" applyAlignment="1" applyProtection="1">
      <alignment vertical="top"/>
      <protection locked="0"/>
    </xf>
    <xf numFmtId="6" fontId="3" fillId="0" borderId="22" xfId="1" applyNumberFormat="1" applyFont="1" applyBorder="1" applyProtection="1"/>
    <xf numFmtId="0" fontId="16" fillId="0" borderId="0" xfId="0" applyFont="1"/>
    <xf numFmtId="0" fontId="16" fillId="0" borderId="14" xfId="0" applyFont="1" applyBorder="1"/>
    <xf numFmtId="168" fontId="11" fillId="0" borderId="12" xfId="3" applyNumberFormat="1" applyFont="1" applyFill="1" applyBorder="1" applyAlignment="1">
      <alignment horizontal="right"/>
    </xf>
    <xf numFmtId="168" fontId="11" fillId="0" borderId="7" xfId="3" applyNumberFormat="1" applyFont="1" applyFill="1" applyBorder="1" applyAlignment="1">
      <alignment horizontal="right"/>
    </xf>
    <xf numFmtId="170" fontId="16" fillId="0" borderId="14" xfId="0" applyNumberFormat="1" applyFont="1" applyBorder="1"/>
    <xf numFmtId="168" fontId="3" fillId="0" borderId="15" xfId="3" applyNumberFormat="1" applyFont="1" applyFill="1" applyBorder="1"/>
    <xf numFmtId="168" fontId="3" fillId="0" borderId="14" xfId="3" applyNumberFormat="1" applyFont="1" applyFill="1" applyBorder="1"/>
    <xf numFmtId="168" fontId="3" fillId="0" borderId="7" xfId="3" applyNumberFormat="1" applyFont="1" applyFill="1" applyBorder="1"/>
    <xf numFmtId="170" fontId="17" fillId="0" borderId="14" xfId="0" applyNumberFormat="1" applyFont="1" applyBorder="1"/>
    <xf numFmtId="168" fontId="11" fillId="0" borderId="28" xfId="3" applyNumberFormat="1" applyFont="1" applyFill="1" applyBorder="1" applyAlignment="1">
      <alignment horizontal="right"/>
    </xf>
    <xf numFmtId="4" fontId="3" fillId="0" borderId="14" xfId="1" applyNumberFormat="1" applyFont="1" applyBorder="1" applyProtection="1"/>
    <xf numFmtId="4" fontId="3" fillId="0" borderId="0" xfId="1" applyNumberFormat="1" applyFont="1" applyBorder="1" applyProtection="1"/>
    <xf numFmtId="169" fontId="3" fillId="0" borderId="7" xfId="0" applyNumberFormat="1" applyFont="1" applyBorder="1"/>
    <xf numFmtId="167" fontId="3" fillId="0" borderId="14" xfId="1" applyNumberFormat="1" applyFont="1" applyBorder="1" applyProtection="1"/>
    <xf numFmtId="38" fontId="3" fillId="0" borderId="15" xfId="1" applyNumberFormat="1" applyFont="1" applyFill="1" applyBorder="1" applyAlignment="1" applyProtection="1">
      <alignment horizontal="right" vertical="center"/>
    </xf>
    <xf numFmtId="0" fontId="16" fillId="0" borderId="15" xfId="0" applyFont="1" applyBorder="1"/>
    <xf numFmtId="170" fontId="16" fillId="0" borderId="15" xfId="0" applyNumberFormat="1" applyFont="1" applyBorder="1"/>
    <xf numFmtId="0" fontId="18" fillId="0" borderId="0" xfId="0" applyFont="1"/>
    <xf numFmtId="0" fontId="18" fillId="0" borderId="14" xfId="0" applyFont="1" applyBorder="1"/>
    <xf numFmtId="4" fontId="3" fillId="0" borderId="30" xfId="1" applyNumberFormat="1" applyFont="1" applyBorder="1" applyProtection="1"/>
    <xf numFmtId="4" fontId="3" fillId="0" borderId="31" xfId="1" applyNumberFormat="1" applyFont="1" applyBorder="1" applyProtection="1"/>
    <xf numFmtId="166" fontId="3" fillId="0" borderId="32" xfId="0" applyNumberFormat="1" applyFont="1" applyBorder="1"/>
    <xf numFmtId="167" fontId="3" fillId="0" borderId="31" xfId="1" applyNumberFormat="1" applyFont="1" applyFill="1" applyBorder="1" applyProtection="1"/>
    <xf numFmtId="169" fontId="3" fillId="0" borderId="31" xfId="0" applyNumberFormat="1" applyFont="1" applyBorder="1" applyAlignment="1">
      <alignment horizontal="right" vertical="center"/>
    </xf>
    <xf numFmtId="6" fontId="3" fillId="0" borderId="31" xfId="1" applyNumberFormat="1" applyFont="1" applyFill="1" applyBorder="1" applyProtection="1"/>
    <xf numFmtId="167" fontId="3" fillId="0" borderId="30" xfId="1" applyNumberFormat="1" applyFont="1" applyFill="1" applyBorder="1" applyProtection="1"/>
    <xf numFmtId="168" fontId="11" fillId="0" borderId="31" xfId="3" applyNumberFormat="1" applyFont="1" applyFill="1" applyBorder="1" applyAlignment="1">
      <alignment horizontal="right"/>
    </xf>
    <xf numFmtId="169" fontId="3" fillId="0" borderId="33" xfId="0" applyNumberFormat="1" applyFont="1" applyBorder="1"/>
    <xf numFmtId="171" fontId="4" fillId="0" borderId="0" xfId="1" applyNumberFormat="1" applyFont="1" applyFill="1" applyProtection="1"/>
    <xf numFmtId="0" fontId="19" fillId="0" borderId="0" xfId="0" applyFont="1"/>
    <xf numFmtId="168" fontId="3" fillId="0" borderId="12" xfId="0" applyNumberFormat="1" applyFont="1" applyBorder="1"/>
    <xf numFmtId="168" fontId="3" fillId="0" borderId="0" xfId="0" applyNumberFormat="1" applyFont="1"/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Currency 2" xfId="4" xr:uid="{101D992B-8C40-4D8A-8B21-E12033D3E373}"/>
    <cellStyle name="Normal" xfId="0" builtinId="0"/>
    <cellStyle name="Normal 2" xfId="5" xr:uid="{FB1F9DBA-3464-4EF0-8737-E50F11E5AE2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bed-my.sharepoint.com/personal/shawn_tracey_nbed_nb_ca/Documents/_migrated_Aug_9-2023/Yr%202024-2025/Budget/4th%20Quarter/4th%20Quarter%20DEC%20Summary%20Report%201.xlsx" TargetMode="External"/><Relationship Id="rId1" Type="http://schemas.openxmlformats.org/officeDocument/2006/relationships/externalLinkPath" Target="/personal/shawn_tracey_nbed_nb_ca/Documents/_migrated_Aug_9-2023/Yr%202024-2025/Budget/4th%20Quarter/4th%20Quarter%20DEC%20Summary%20Repor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rating Results"/>
      <sheetName val="Salary Projections"/>
      <sheetName val="Main Veh"/>
      <sheetName val="Heating Fuel"/>
      <sheetName val="Natural Gas"/>
      <sheetName val="Bus Ops"/>
      <sheetName val="2021-22"/>
      <sheetName val="Actuals 2020-21"/>
    </sheetNames>
    <sheetDataSet>
      <sheetData sheetId="0">
        <row r="12">
          <cell r="Q12">
            <v>162747388.97999999</v>
          </cell>
        </row>
        <row r="14">
          <cell r="Q14">
            <v>6903397.25</v>
          </cell>
        </row>
        <row r="27">
          <cell r="Q27">
            <v>23948304.73</v>
          </cell>
        </row>
        <row r="29">
          <cell r="Q29">
            <v>1261775.6100000001</v>
          </cell>
        </row>
        <row r="30">
          <cell r="Q30">
            <v>4994964.5</v>
          </cell>
        </row>
        <row r="33">
          <cell r="Q33">
            <v>2096468.8800000001</v>
          </cell>
        </row>
        <row r="35">
          <cell r="Q35">
            <v>41030.519999999997</v>
          </cell>
        </row>
        <row r="40">
          <cell r="Q40">
            <v>4348377.21</v>
          </cell>
        </row>
        <row r="42">
          <cell r="Q42">
            <v>111972.26</v>
          </cell>
        </row>
        <row r="43">
          <cell r="Q43">
            <v>292965.19</v>
          </cell>
        </row>
        <row r="45">
          <cell r="Q45">
            <v>3586610.91</v>
          </cell>
        </row>
        <row r="48">
          <cell r="Q48">
            <v>736093.32</v>
          </cell>
        </row>
        <row r="50">
          <cell r="Q50">
            <v>40677.08</v>
          </cell>
        </row>
        <row r="51">
          <cell r="Q51">
            <v>109941.27</v>
          </cell>
        </row>
        <row r="59">
          <cell r="Q59">
            <v>607804.97</v>
          </cell>
        </row>
        <row r="79">
          <cell r="Q79">
            <v>10099261.060000001</v>
          </cell>
        </row>
        <row r="81">
          <cell r="Q81">
            <v>93581.05</v>
          </cell>
        </row>
        <row r="83">
          <cell r="Q83">
            <v>179165.19</v>
          </cell>
        </row>
        <row r="84">
          <cell r="Q84">
            <v>1204321.21</v>
          </cell>
        </row>
        <row r="94">
          <cell r="Q94">
            <v>349283.84000000003</v>
          </cell>
        </row>
        <row r="96">
          <cell r="Q96">
            <v>656510.03</v>
          </cell>
        </row>
        <row r="97">
          <cell r="Q97">
            <v>473221.33</v>
          </cell>
        </row>
        <row r="108">
          <cell r="Q108">
            <v>6882820.8600000003</v>
          </cell>
        </row>
        <row r="110">
          <cell r="Q110">
            <v>326512.77</v>
          </cell>
        </row>
        <row r="111">
          <cell r="Q111">
            <v>87391.69</v>
          </cell>
        </row>
        <row r="112">
          <cell r="Q112">
            <v>901509.77</v>
          </cell>
        </row>
        <row r="114">
          <cell r="Q114">
            <v>4686412.57</v>
          </cell>
        </row>
        <row r="127">
          <cell r="Q127">
            <v>6542983.4100000001</v>
          </cell>
        </row>
        <row r="129">
          <cell r="Q129">
            <v>283818.21000000002</v>
          </cell>
        </row>
      </sheetData>
      <sheetData sheetId="1">
        <row r="10">
          <cell r="B10">
            <v>172949979.87</v>
          </cell>
          <cell r="E10">
            <v>26262845.674000002</v>
          </cell>
          <cell r="H10">
            <v>2369950.3060000003</v>
          </cell>
          <cell r="K10">
            <v>4648978</v>
          </cell>
          <cell r="N10">
            <v>4048754.4129999997</v>
          </cell>
          <cell r="Q10">
            <v>800429.61599999992</v>
          </cell>
          <cell r="T10">
            <v>690113.84999999986</v>
          </cell>
          <cell r="W10">
            <v>11399206.414000001</v>
          </cell>
          <cell r="Z10">
            <v>7688684.2180000003</v>
          </cell>
          <cell r="AC10">
            <v>8090048.824000001</v>
          </cell>
        </row>
        <row r="17">
          <cell r="B17">
            <v>7940682.2639999995</v>
          </cell>
          <cell r="E17">
            <v>1732315.412</v>
          </cell>
          <cell r="H17">
            <v>37543.410000000003</v>
          </cell>
          <cell r="K17">
            <v>134336.22200000001</v>
          </cell>
          <cell r="Q17">
            <v>44207.106000000007</v>
          </cell>
          <cell r="W17">
            <v>180278.35900000003</v>
          </cell>
          <cell r="Z17">
            <v>404026.45200000005</v>
          </cell>
          <cell r="AC17">
            <v>101142.98199999999</v>
          </cell>
        </row>
        <row r="24">
          <cell r="E24">
            <v>5425363.5219999999</v>
          </cell>
          <cell r="H24">
            <v>3487.13</v>
          </cell>
          <cell r="K24">
            <v>335871.33599999995</v>
          </cell>
          <cell r="Q24">
            <v>124014.01999999999</v>
          </cell>
          <cell r="W24">
            <v>242970.08499999996</v>
          </cell>
          <cell r="Z24">
            <v>96096.305999999997</v>
          </cell>
          <cell r="AC24">
            <v>224672.05100000001</v>
          </cell>
        </row>
        <row r="31">
          <cell r="W31">
            <v>1346580.9780000001</v>
          </cell>
          <cell r="Z31">
            <v>1066281.51</v>
          </cell>
          <cell r="AC31">
            <v>136385.549</v>
          </cell>
        </row>
      </sheetData>
      <sheetData sheetId="2">
        <row r="32">
          <cell r="N32">
            <v>458971.64799999999</v>
          </cell>
        </row>
      </sheetData>
      <sheetData sheetId="3">
        <row r="35">
          <cell r="AB35">
            <v>809113.64945999999</v>
          </cell>
        </row>
      </sheetData>
      <sheetData sheetId="4">
        <row r="293">
          <cell r="N293">
            <v>537709.55110705527</v>
          </cell>
        </row>
      </sheetData>
      <sheetData sheetId="5">
        <row r="39">
          <cell r="O39">
            <v>6423439.8499999996</v>
          </cell>
        </row>
      </sheetData>
      <sheetData sheetId="6">
        <row r="45">
          <cell r="C45">
            <v>139777642.06999999</v>
          </cell>
        </row>
        <row r="46">
          <cell r="C46">
            <v>12338.89</v>
          </cell>
        </row>
        <row r="47">
          <cell r="C47">
            <v>5561012.0899999999</v>
          </cell>
        </row>
        <row r="48">
          <cell r="C48">
            <v>1749.56</v>
          </cell>
        </row>
        <row r="49">
          <cell r="C49">
            <v>0</v>
          </cell>
        </row>
        <row r="50">
          <cell r="C50">
            <v>1431.75</v>
          </cell>
        </row>
        <row r="51">
          <cell r="C51">
            <v>12937.15</v>
          </cell>
        </row>
        <row r="52">
          <cell r="C52">
            <v>1405.12</v>
          </cell>
        </row>
        <row r="53">
          <cell r="C53">
            <v>174.95</v>
          </cell>
        </row>
        <row r="54">
          <cell r="C54">
            <v>384.91</v>
          </cell>
        </row>
        <row r="55">
          <cell r="C55">
            <v>5009.78</v>
          </cell>
        </row>
        <row r="56">
          <cell r="C56">
            <v>1289.55</v>
          </cell>
        </row>
        <row r="57">
          <cell r="C57">
            <v>210.1</v>
          </cell>
        </row>
        <row r="58">
          <cell r="C58">
            <v>98982.24</v>
          </cell>
        </row>
        <row r="59">
          <cell r="C59">
            <v>161.91999999999999</v>
          </cell>
        </row>
        <row r="60">
          <cell r="C60">
            <v>217368</v>
          </cell>
        </row>
        <row r="61">
          <cell r="C61">
            <v>300</v>
          </cell>
        </row>
        <row r="62">
          <cell r="C62">
            <v>10.27</v>
          </cell>
        </row>
        <row r="63">
          <cell r="C63">
            <v>446213.99</v>
          </cell>
        </row>
        <row r="64">
          <cell r="C64">
            <v>10</v>
          </cell>
        </row>
        <row r="65">
          <cell r="C65">
            <v>29236.28</v>
          </cell>
        </row>
        <row r="66">
          <cell r="C66">
            <v>439.95</v>
          </cell>
        </row>
        <row r="67">
          <cell r="C67">
            <v>75</v>
          </cell>
        </row>
        <row r="68">
          <cell r="C68">
            <v>4835.6099999999997</v>
          </cell>
        </row>
        <row r="69">
          <cell r="C69">
            <v>3000</v>
          </cell>
        </row>
        <row r="70">
          <cell r="C70">
            <v>562.32000000000005</v>
          </cell>
        </row>
        <row r="71">
          <cell r="C71">
            <v>1534.23</v>
          </cell>
        </row>
        <row r="72">
          <cell r="C72">
            <v>962.57</v>
          </cell>
        </row>
        <row r="73">
          <cell r="C73">
            <v>3586.33</v>
          </cell>
        </row>
        <row r="74">
          <cell r="C74">
            <v>27293.119999999999</v>
          </cell>
        </row>
        <row r="75">
          <cell r="C75">
            <v>173159.28</v>
          </cell>
        </row>
        <row r="76">
          <cell r="C76">
            <v>123.5</v>
          </cell>
        </row>
        <row r="77">
          <cell r="C77">
            <v>742.79</v>
          </cell>
        </row>
        <row r="78">
          <cell r="C78">
            <v>3014.41</v>
          </cell>
        </row>
        <row r="79">
          <cell r="C79">
            <v>1261.73</v>
          </cell>
        </row>
        <row r="80">
          <cell r="C80">
            <v>2744.3</v>
          </cell>
        </row>
        <row r="81">
          <cell r="C81">
            <v>35410.69</v>
          </cell>
        </row>
        <row r="82">
          <cell r="C82">
            <v>411.98</v>
          </cell>
        </row>
        <row r="83">
          <cell r="C83">
            <v>1424.28</v>
          </cell>
        </row>
        <row r="84">
          <cell r="C84">
            <v>23056.54</v>
          </cell>
        </row>
        <row r="85">
          <cell r="C85">
            <v>3531.48</v>
          </cell>
        </row>
        <row r="86">
          <cell r="C86">
            <v>3531.65</v>
          </cell>
        </row>
        <row r="87">
          <cell r="C87">
            <v>71329.45</v>
          </cell>
        </row>
        <row r="88">
          <cell r="C88">
            <v>923303</v>
          </cell>
        </row>
        <row r="89">
          <cell r="C89">
            <v>48931.19</v>
          </cell>
        </row>
        <row r="90">
          <cell r="C90">
            <v>0</v>
          </cell>
        </row>
        <row r="91">
          <cell r="C91">
            <v>7279.21</v>
          </cell>
        </row>
        <row r="92">
          <cell r="C92">
            <v>450</v>
          </cell>
        </row>
        <row r="93">
          <cell r="C93">
            <v>1456</v>
          </cell>
        </row>
        <row r="94">
          <cell r="C94">
            <v>129537.38</v>
          </cell>
        </row>
        <row r="95">
          <cell r="C95">
            <v>78290.7</v>
          </cell>
        </row>
        <row r="96">
          <cell r="C96">
            <v>150000</v>
          </cell>
        </row>
        <row r="97">
          <cell r="C97">
            <v>56150.77</v>
          </cell>
        </row>
        <row r="98">
          <cell r="C98">
            <v>2607524.2599999998</v>
          </cell>
        </row>
        <row r="99">
          <cell r="C99">
            <v>161627.12</v>
          </cell>
        </row>
        <row r="100">
          <cell r="C100">
            <v>12813.12</v>
          </cell>
        </row>
        <row r="101">
          <cell r="C101">
            <v>237.17</v>
          </cell>
        </row>
        <row r="102">
          <cell r="C102">
            <v>1449.98</v>
          </cell>
        </row>
        <row r="103">
          <cell r="C103">
            <v>18801.560000000001</v>
          </cell>
        </row>
        <row r="104">
          <cell r="C104">
            <v>99991.97</v>
          </cell>
        </row>
        <row r="105">
          <cell r="C105">
            <v>64720.62</v>
          </cell>
        </row>
        <row r="106">
          <cell r="C106">
            <v>15810.36</v>
          </cell>
        </row>
        <row r="107">
          <cell r="C107">
            <v>134562.04</v>
          </cell>
        </row>
        <row r="112">
          <cell r="C112">
            <v>126.28</v>
          </cell>
        </row>
        <row r="113">
          <cell r="C113">
            <v>96206</v>
          </cell>
        </row>
        <row r="114">
          <cell r="C114">
            <v>3033.82</v>
          </cell>
        </row>
        <row r="115">
          <cell r="C115">
            <v>2403.13</v>
          </cell>
        </row>
        <row r="116">
          <cell r="C116">
            <v>442.7</v>
          </cell>
        </row>
        <row r="117">
          <cell r="C117">
            <v>64.540000000000006</v>
          </cell>
        </row>
        <row r="118">
          <cell r="C118">
            <v>79104.08</v>
          </cell>
        </row>
        <row r="119">
          <cell r="C119">
            <v>235.8</v>
          </cell>
        </row>
        <row r="120">
          <cell r="C120">
            <v>3289</v>
          </cell>
        </row>
        <row r="121">
          <cell r="C121">
            <v>296605.94</v>
          </cell>
        </row>
        <row r="122">
          <cell r="C122">
            <v>2700.47</v>
          </cell>
        </row>
        <row r="123">
          <cell r="C123">
            <v>84.38</v>
          </cell>
        </row>
        <row r="124">
          <cell r="C124">
            <v>10037.209999999999</v>
          </cell>
        </row>
        <row r="125">
          <cell r="C125">
            <v>4.4000000000000004</v>
          </cell>
        </row>
        <row r="126">
          <cell r="C126">
            <v>1482.42</v>
          </cell>
        </row>
        <row r="127">
          <cell r="C127">
            <v>53050.3</v>
          </cell>
        </row>
        <row r="128">
          <cell r="C128">
            <v>13590.88</v>
          </cell>
        </row>
        <row r="129">
          <cell r="C129">
            <v>27267.37</v>
          </cell>
        </row>
        <row r="130">
          <cell r="C130">
            <v>1859</v>
          </cell>
        </row>
        <row r="131">
          <cell r="C131">
            <v>790.42</v>
          </cell>
        </row>
        <row r="132">
          <cell r="C132">
            <v>3553.66</v>
          </cell>
        </row>
        <row r="133">
          <cell r="C133">
            <v>1459.68</v>
          </cell>
        </row>
        <row r="134">
          <cell r="C134">
            <v>42.97</v>
          </cell>
        </row>
        <row r="135">
          <cell r="C135">
            <v>90032.33</v>
          </cell>
        </row>
        <row r="136">
          <cell r="C136">
            <v>12023.57</v>
          </cell>
        </row>
        <row r="137">
          <cell r="C137">
            <v>1214.75</v>
          </cell>
        </row>
        <row r="138">
          <cell r="C138">
            <v>186.98</v>
          </cell>
        </row>
        <row r="139">
          <cell r="C139">
            <v>2531.81</v>
          </cell>
        </row>
        <row r="140">
          <cell r="C140">
            <v>105.97</v>
          </cell>
        </row>
        <row r="141">
          <cell r="C141">
            <v>167.95</v>
          </cell>
        </row>
        <row r="142">
          <cell r="C142">
            <v>157953.53</v>
          </cell>
        </row>
        <row r="143">
          <cell r="C143">
            <v>18659.080000000002</v>
          </cell>
        </row>
        <row r="144">
          <cell r="C144">
            <v>841.73</v>
          </cell>
        </row>
        <row r="145">
          <cell r="C145">
            <v>1575.87</v>
          </cell>
        </row>
        <row r="146">
          <cell r="C146">
            <v>31037.07</v>
          </cell>
        </row>
        <row r="151">
          <cell r="C151">
            <v>5089486.4000000004</v>
          </cell>
        </row>
        <row r="152">
          <cell r="C152">
            <v>120550.47</v>
          </cell>
        </row>
        <row r="153">
          <cell r="C153">
            <v>264490.12</v>
          </cell>
        </row>
        <row r="154">
          <cell r="C154">
            <v>-8465.76</v>
          </cell>
        </row>
        <row r="155">
          <cell r="C155">
            <v>170.17</v>
          </cell>
        </row>
        <row r="156">
          <cell r="C156">
            <v>4740.6000000000004</v>
          </cell>
        </row>
        <row r="157">
          <cell r="C157">
            <v>79.2</v>
          </cell>
        </row>
        <row r="158">
          <cell r="C158">
            <v>2467.4</v>
          </cell>
        </row>
        <row r="159">
          <cell r="C159">
            <v>3353.91</v>
          </cell>
        </row>
        <row r="160">
          <cell r="C160">
            <v>103</v>
          </cell>
        </row>
        <row r="161">
          <cell r="C161">
            <v>412.15</v>
          </cell>
        </row>
        <row r="162">
          <cell r="C162">
            <v>128.75</v>
          </cell>
        </row>
        <row r="163">
          <cell r="C163">
            <v>167.95</v>
          </cell>
        </row>
        <row r="164">
          <cell r="C164">
            <v>280897.43</v>
          </cell>
        </row>
        <row r="165">
          <cell r="C165">
            <v>2174.9899999999998</v>
          </cell>
        </row>
        <row r="166">
          <cell r="C166">
            <v>32246.03</v>
          </cell>
        </row>
        <row r="167">
          <cell r="C167">
            <v>8.2200000000000006</v>
          </cell>
        </row>
        <row r="168">
          <cell r="C168">
            <v>1788.79</v>
          </cell>
        </row>
        <row r="169">
          <cell r="C169">
            <v>210.35</v>
          </cell>
        </row>
        <row r="170">
          <cell r="C170">
            <v>31.99</v>
          </cell>
        </row>
        <row r="171">
          <cell r="C171">
            <v>627.94000000000005</v>
          </cell>
        </row>
        <row r="172">
          <cell r="C172">
            <v>98.91</v>
          </cell>
        </row>
        <row r="173">
          <cell r="C173">
            <v>108.96</v>
          </cell>
        </row>
        <row r="174">
          <cell r="C174">
            <v>536.82000000000005</v>
          </cell>
        </row>
        <row r="175">
          <cell r="C175">
            <v>24259.1</v>
          </cell>
        </row>
        <row r="176">
          <cell r="C176">
            <v>614.41</v>
          </cell>
        </row>
        <row r="177">
          <cell r="C177">
            <v>3252.68</v>
          </cell>
        </row>
        <row r="178">
          <cell r="C178">
            <v>6159.06</v>
          </cell>
        </row>
        <row r="179">
          <cell r="C179">
            <v>121065.38</v>
          </cell>
        </row>
        <row r="180">
          <cell r="C180">
            <v>539.97</v>
          </cell>
        </row>
        <row r="181">
          <cell r="C181">
            <v>10003.41</v>
          </cell>
        </row>
        <row r="182">
          <cell r="C182">
            <v>1683.65</v>
          </cell>
        </row>
        <row r="183">
          <cell r="C183">
            <v>150</v>
          </cell>
        </row>
        <row r="184">
          <cell r="C184">
            <v>469.62</v>
          </cell>
        </row>
        <row r="185">
          <cell r="C185">
            <v>3328.3</v>
          </cell>
        </row>
        <row r="186">
          <cell r="C186">
            <v>13677.84</v>
          </cell>
        </row>
        <row r="214">
          <cell r="C214">
            <v>159979.72</v>
          </cell>
        </row>
        <row r="217">
          <cell r="C217">
            <v>2870234.16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2853.18</v>
          </cell>
        </row>
        <row r="221">
          <cell r="C221">
            <v>25.92</v>
          </cell>
        </row>
        <row r="222">
          <cell r="C222">
            <v>19259.689999999999</v>
          </cell>
        </row>
        <row r="223">
          <cell r="C223">
            <v>225.18</v>
          </cell>
        </row>
        <row r="224">
          <cell r="C224">
            <v>331.59</v>
          </cell>
        </row>
        <row r="225">
          <cell r="C225">
            <v>3795.98</v>
          </cell>
        </row>
        <row r="226">
          <cell r="C226">
            <v>2227.7199999999998</v>
          </cell>
        </row>
        <row r="227">
          <cell r="C227">
            <v>0</v>
          </cell>
        </row>
        <row r="228">
          <cell r="C228">
            <v>95.7</v>
          </cell>
        </row>
        <row r="229">
          <cell r="C229">
            <v>1805.45</v>
          </cell>
        </row>
        <row r="230">
          <cell r="C230">
            <v>607.52</v>
          </cell>
        </row>
        <row r="231">
          <cell r="C231">
            <v>377.59</v>
          </cell>
        </row>
        <row r="232">
          <cell r="C232">
            <v>99.45</v>
          </cell>
        </row>
        <row r="237">
          <cell r="C237">
            <v>934549.97</v>
          </cell>
        </row>
        <row r="238">
          <cell r="C238">
            <v>8100.87</v>
          </cell>
        </row>
        <row r="239">
          <cell r="C239">
            <v>188734.53</v>
          </cell>
        </row>
        <row r="242">
          <cell r="C242">
            <v>36846.080000000002</v>
          </cell>
        </row>
        <row r="243">
          <cell r="C243">
            <v>120.62</v>
          </cell>
        </row>
        <row r="244">
          <cell r="C244">
            <v>80671.91</v>
          </cell>
        </row>
        <row r="254">
          <cell r="C254">
            <v>642127.06999999995</v>
          </cell>
        </row>
        <row r="267">
          <cell r="C267">
            <v>6306.31</v>
          </cell>
        </row>
        <row r="278">
          <cell r="C278">
            <v>74728.08</v>
          </cell>
        </row>
        <row r="301">
          <cell r="C301">
            <v>226200</v>
          </cell>
        </row>
        <row r="304">
          <cell r="C304">
            <v>349801.03</v>
          </cell>
        </row>
        <row r="305">
          <cell r="C305">
            <v>113.53</v>
          </cell>
        </row>
        <row r="306">
          <cell r="C306">
            <v>60</v>
          </cell>
        </row>
        <row r="307">
          <cell r="C307">
            <v>35</v>
          </cell>
        </row>
        <row r="308">
          <cell r="C308">
            <v>6002.3</v>
          </cell>
        </row>
        <row r="309">
          <cell r="C309">
            <v>0</v>
          </cell>
        </row>
        <row r="310">
          <cell r="C310">
            <v>96.76</v>
          </cell>
        </row>
        <row r="311">
          <cell r="C311">
            <v>250.43</v>
          </cell>
        </row>
        <row r="312">
          <cell r="C312">
            <v>23.39</v>
          </cell>
        </row>
        <row r="313">
          <cell r="C313">
            <v>60.92</v>
          </cell>
        </row>
        <row r="314">
          <cell r="C314">
            <v>9007.6</v>
          </cell>
        </row>
        <row r="315">
          <cell r="C315">
            <v>1322.97</v>
          </cell>
        </row>
        <row r="316">
          <cell r="C316">
            <v>1106.83</v>
          </cell>
        </row>
        <row r="317">
          <cell r="C317">
            <v>1000</v>
          </cell>
        </row>
        <row r="318">
          <cell r="C318">
            <v>6114.41</v>
          </cell>
        </row>
        <row r="323">
          <cell r="C323">
            <v>26633006.329999998</v>
          </cell>
        </row>
        <row r="324">
          <cell r="C324">
            <v>265505.84999999998</v>
          </cell>
        </row>
        <row r="325">
          <cell r="C325">
            <v>3542054.38</v>
          </cell>
        </row>
        <row r="333">
          <cell r="C333">
            <v>0</v>
          </cell>
        </row>
        <row r="334">
          <cell r="C334">
            <v>851.1</v>
          </cell>
        </row>
        <row r="335">
          <cell r="C335">
            <v>671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990.02</v>
          </cell>
        </row>
        <row r="340">
          <cell r="C340">
            <v>95.17</v>
          </cell>
        </row>
        <row r="341">
          <cell r="C341">
            <v>55.25</v>
          </cell>
        </row>
        <row r="342">
          <cell r="C342">
            <v>5730.03</v>
          </cell>
        </row>
        <row r="343">
          <cell r="C343">
            <v>135.51</v>
          </cell>
        </row>
        <row r="344">
          <cell r="C344">
            <v>156707.62</v>
          </cell>
        </row>
        <row r="345">
          <cell r="C345">
            <v>425.91</v>
          </cell>
        </row>
        <row r="346">
          <cell r="C346">
            <v>-34601.79</v>
          </cell>
        </row>
        <row r="347">
          <cell r="C347">
            <v>531</v>
          </cell>
        </row>
        <row r="348">
          <cell r="C348">
            <v>274.17</v>
          </cell>
        </row>
        <row r="366">
          <cell r="C366">
            <v>1205027.6200000001</v>
          </cell>
        </row>
        <row r="373">
          <cell r="C373">
            <v>10460.93</v>
          </cell>
        </row>
        <row r="379">
          <cell r="C379">
            <v>301.04000000000002</v>
          </cell>
        </row>
        <row r="382">
          <cell r="C382">
            <v>3406.6</v>
          </cell>
        </row>
        <row r="383">
          <cell r="C383">
            <v>74080.75</v>
          </cell>
        </row>
        <row r="384">
          <cell r="C384">
            <v>136.5</v>
          </cell>
        </row>
        <row r="385">
          <cell r="C385">
            <v>1659.84</v>
          </cell>
        </row>
        <row r="386">
          <cell r="C386">
            <v>3907.1</v>
          </cell>
        </row>
        <row r="394">
          <cell r="C394">
            <v>0</v>
          </cell>
        </row>
        <row r="409">
          <cell r="C409">
            <v>45612.59</v>
          </cell>
        </row>
        <row r="435">
          <cell r="C435">
            <v>139422.12</v>
          </cell>
        </row>
        <row r="443">
          <cell r="C443">
            <v>8226.44</v>
          </cell>
        </row>
        <row r="448">
          <cell r="C448">
            <v>0</v>
          </cell>
        </row>
        <row r="463">
          <cell r="C463">
            <v>44727.89</v>
          </cell>
        </row>
        <row r="477">
          <cell r="C477">
            <v>50067.74</v>
          </cell>
        </row>
        <row r="489">
          <cell r="C489">
            <v>76232.31</v>
          </cell>
        </row>
        <row r="499">
          <cell r="C499">
            <v>23982.39</v>
          </cell>
        </row>
        <row r="505">
          <cell r="C505">
            <v>20330.3</v>
          </cell>
        </row>
        <row r="521">
          <cell r="C521">
            <v>165789.41</v>
          </cell>
        </row>
        <row r="530">
          <cell r="C530">
            <v>82471.28</v>
          </cell>
        </row>
        <row r="535">
          <cell r="C535">
            <v>28565.73</v>
          </cell>
        </row>
        <row r="551">
          <cell r="C551">
            <v>333057.08</v>
          </cell>
        </row>
        <row r="575">
          <cell r="C575">
            <v>222068.81</v>
          </cell>
        </row>
        <row r="594">
          <cell r="C594">
            <v>95591.51</v>
          </cell>
        </row>
        <row r="599">
          <cell r="C599">
            <v>0</v>
          </cell>
        </row>
        <row r="610">
          <cell r="C610">
            <v>13791.8</v>
          </cell>
        </row>
        <row r="613">
          <cell r="C613">
            <v>162911.54</v>
          </cell>
        </row>
        <row r="614">
          <cell r="C614">
            <v>100350.68</v>
          </cell>
        </row>
        <row r="621">
          <cell r="C621">
            <v>0</v>
          </cell>
        </row>
        <row r="626">
          <cell r="C626">
            <v>7442</v>
          </cell>
        </row>
        <row r="632">
          <cell r="C632">
            <v>9488.44</v>
          </cell>
        </row>
        <row r="643">
          <cell r="C643">
            <v>33194.949999999997</v>
          </cell>
        </row>
        <row r="648">
          <cell r="C648">
            <v>0</v>
          </cell>
        </row>
        <row r="651">
          <cell r="C651">
            <v>6453108.25</v>
          </cell>
        </row>
        <row r="652">
          <cell r="C652">
            <v>76294.759999999995</v>
          </cell>
        </row>
        <row r="653">
          <cell r="C653">
            <v>0</v>
          </cell>
        </row>
        <row r="654">
          <cell r="C654">
            <v>7821.02</v>
          </cell>
        </row>
        <row r="656">
          <cell r="C656">
            <v>1083809.1100000001</v>
          </cell>
        </row>
        <row r="659">
          <cell r="C659">
            <v>5363315.8899999997</v>
          </cell>
        </row>
        <row r="661">
          <cell r="C661">
            <v>626236.38</v>
          </cell>
        </row>
        <row r="663">
          <cell r="C663">
            <v>2588331.86</v>
          </cell>
        </row>
        <row r="664">
          <cell r="C664">
            <v>358692.58</v>
          </cell>
        </row>
        <row r="665">
          <cell r="C665">
            <v>29173</v>
          </cell>
        </row>
        <row r="666">
          <cell r="C666">
            <v>928809.84</v>
          </cell>
        </row>
        <row r="667">
          <cell r="C667">
            <v>139.9</v>
          </cell>
        </row>
        <row r="668">
          <cell r="C668">
            <v>530508.67000000004</v>
          </cell>
        </row>
        <row r="669">
          <cell r="C669">
            <v>0</v>
          </cell>
        </row>
        <row r="679">
          <cell r="C679">
            <v>905648.16</v>
          </cell>
        </row>
        <row r="680">
          <cell r="C680">
            <v>711096.23</v>
          </cell>
        </row>
        <row r="681">
          <cell r="C681">
            <v>48494.62</v>
          </cell>
        </row>
        <row r="683">
          <cell r="C683">
            <v>464.46</v>
          </cell>
        </row>
        <row r="684">
          <cell r="C684">
            <v>2928.63</v>
          </cell>
        </row>
        <row r="695">
          <cell r="C695">
            <v>12113.52</v>
          </cell>
        </row>
        <row r="727">
          <cell r="C727">
            <v>1741721.87</v>
          </cell>
        </row>
        <row r="733">
          <cell r="C733">
            <v>430094.73</v>
          </cell>
        </row>
        <row r="737">
          <cell r="C737">
            <v>437301.6</v>
          </cell>
        </row>
        <row r="748">
          <cell r="C748">
            <v>141340.29999999999</v>
          </cell>
        </row>
        <row r="754">
          <cell r="C754">
            <v>12544.14</v>
          </cell>
        </row>
        <row r="759">
          <cell r="C759">
            <v>0</v>
          </cell>
        </row>
        <row r="762">
          <cell r="C762">
            <v>5867089.8700000001</v>
          </cell>
        </row>
        <row r="763">
          <cell r="C763">
            <v>114544.3</v>
          </cell>
        </row>
        <row r="764">
          <cell r="C764">
            <v>940858.08</v>
          </cell>
        </row>
        <row r="765">
          <cell r="C765">
            <v>486.5</v>
          </cell>
        </row>
        <row r="766">
          <cell r="C766">
            <v>50</v>
          </cell>
        </row>
        <row r="767">
          <cell r="C767">
            <v>421.19</v>
          </cell>
        </row>
        <row r="768">
          <cell r="C768">
            <v>104716.7</v>
          </cell>
        </row>
        <row r="769">
          <cell r="C769">
            <v>-75</v>
          </cell>
        </row>
        <row r="770">
          <cell r="C770">
            <v>49287.19</v>
          </cell>
        </row>
        <row r="771">
          <cell r="C771">
            <v>-4655.75</v>
          </cell>
        </row>
        <row r="772">
          <cell r="C772">
            <v>445</v>
          </cell>
        </row>
        <row r="773">
          <cell r="C773">
            <v>520</v>
          </cell>
        </row>
        <row r="774">
          <cell r="C774">
            <v>5189074.3499999996</v>
          </cell>
        </row>
        <row r="775">
          <cell r="C775">
            <v>500</v>
          </cell>
        </row>
        <row r="776">
          <cell r="C776">
            <v>5442</v>
          </cell>
        </row>
        <row r="777">
          <cell r="C777">
            <v>1866.12</v>
          </cell>
        </row>
        <row r="778">
          <cell r="C778">
            <v>6.72</v>
          </cell>
        </row>
        <row r="779">
          <cell r="C779">
            <v>5063.82</v>
          </cell>
        </row>
        <row r="780">
          <cell r="C780">
            <v>-29.95</v>
          </cell>
        </row>
        <row r="781">
          <cell r="C781">
            <v>16583.34</v>
          </cell>
        </row>
        <row r="782">
          <cell r="C782">
            <v>10342.07</v>
          </cell>
        </row>
        <row r="783">
          <cell r="C783">
            <v>495</v>
          </cell>
        </row>
        <row r="784">
          <cell r="C784">
            <v>1260.96</v>
          </cell>
        </row>
        <row r="785">
          <cell r="C785">
            <v>1311.06</v>
          </cell>
        </row>
        <row r="786">
          <cell r="C786">
            <v>254.01</v>
          </cell>
        </row>
        <row r="787">
          <cell r="C787">
            <v>145.5</v>
          </cell>
        </row>
        <row r="788">
          <cell r="C788">
            <v>6451.33</v>
          </cell>
        </row>
        <row r="789">
          <cell r="C789">
            <v>1621.59</v>
          </cell>
        </row>
        <row r="790">
          <cell r="C790">
            <v>10.53</v>
          </cell>
        </row>
        <row r="791">
          <cell r="C791">
            <v>1048.21</v>
          </cell>
        </row>
        <row r="792">
          <cell r="C792">
            <v>547.63</v>
          </cell>
        </row>
        <row r="793">
          <cell r="C793">
            <v>337.84</v>
          </cell>
        </row>
        <row r="794">
          <cell r="C794">
            <v>8136.56</v>
          </cell>
        </row>
        <row r="795">
          <cell r="C795">
            <v>3176.89</v>
          </cell>
        </row>
        <row r="806">
          <cell r="C806">
            <v>40387.129999999997</v>
          </cell>
        </row>
        <row r="809">
          <cell r="C809">
            <v>40275</v>
          </cell>
        </row>
        <row r="810">
          <cell r="C810">
            <v>0</v>
          </cell>
        </row>
        <row r="811">
          <cell r="C811">
            <v>5138.43</v>
          </cell>
        </row>
        <row r="812">
          <cell r="C812">
            <v>701.93</v>
          </cell>
        </row>
        <row r="813">
          <cell r="C813">
            <v>1136.08</v>
          </cell>
        </row>
        <row r="814">
          <cell r="C814">
            <v>2293.85</v>
          </cell>
        </row>
        <row r="815">
          <cell r="C815">
            <v>129</v>
          </cell>
        </row>
        <row r="816">
          <cell r="C816">
            <v>1000</v>
          </cell>
        </row>
        <row r="817">
          <cell r="C817">
            <v>293.02</v>
          </cell>
        </row>
        <row r="818">
          <cell r="C818">
            <v>1.05</v>
          </cell>
        </row>
        <row r="819">
          <cell r="C819">
            <v>14.62</v>
          </cell>
        </row>
        <row r="820">
          <cell r="C820">
            <v>4874.12</v>
          </cell>
        </row>
        <row r="821">
          <cell r="C821">
            <v>1112.3499999999999</v>
          </cell>
        </row>
        <row r="822">
          <cell r="C822">
            <v>1546.95</v>
          </cell>
        </row>
        <row r="823">
          <cell r="C823">
            <v>400</v>
          </cell>
        </row>
        <row r="824">
          <cell r="C824">
            <v>23584.02</v>
          </cell>
        </row>
        <row r="825">
          <cell r="C825">
            <v>4828.49</v>
          </cell>
        </row>
        <row r="826">
          <cell r="C826">
            <v>615.35</v>
          </cell>
        </row>
        <row r="827">
          <cell r="C827">
            <v>9501.1200000000008</v>
          </cell>
        </row>
        <row r="828">
          <cell r="C828">
            <v>359.94</v>
          </cell>
        </row>
        <row r="829">
          <cell r="C829">
            <v>32308.87</v>
          </cell>
        </row>
        <row r="830">
          <cell r="C830">
            <v>385.97</v>
          </cell>
        </row>
        <row r="831">
          <cell r="C831">
            <v>1246.18</v>
          </cell>
        </row>
        <row r="832">
          <cell r="C832">
            <v>3453.9</v>
          </cell>
        </row>
        <row r="837">
          <cell r="C837">
            <v>6569981.5599999996</v>
          </cell>
        </row>
        <row r="838">
          <cell r="C838">
            <v>5657.89</v>
          </cell>
        </row>
        <row r="839">
          <cell r="C839">
            <v>32193.26</v>
          </cell>
        </row>
        <row r="840">
          <cell r="C840">
            <v>145944.07999999999</v>
          </cell>
        </row>
        <row r="841">
          <cell r="C841">
            <v>63196</v>
          </cell>
        </row>
        <row r="842">
          <cell r="C842">
            <v>0</v>
          </cell>
        </row>
        <row r="843">
          <cell r="C843">
            <v>75.930000000000007</v>
          </cell>
        </row>
        <row r="844">
          <cell r="C844">
            <v>4796.68</v>
          </cell>
        </row>
        <row r="845">
          <cell r="C845">
            <v>35</v>
          </cell>
        </row>
        <row r="846">
          <cell r="C846">
            <v>30000</v>
          </cell>
        </row>
        <row r="847">
          <cell r="C847">
            <v>2026</v>
          </cell>
        </row>
        <row r="848">
          <cell r="C848">
            <v>4006.68</v>
          </cell>
        </row>
        <row r="849">
          <cell r="C849">
            <v>63034.29</v>
          </cell>
        </row>
        <row r="850">
          <cell r="C850">
            <v>9862.3700000000008</v>
          </cell>
        </row>
        <row r="851">
          <cell r="C851">
            <v>-114</v>
          </cell>
        </row>
        <row r="852">
          <cell r="C852">
            <v>66.77</v>
          </cell>
        </row>
        <row r="853">
          <cell r="C853">
            <v>50.09</v>
          </cell>
        </row>
        <row r="854">
          <cell r="C854">
            <v>71333.03</v>
          </cell>
        </row>
        <row r="855">
          <cell r="C855">
            <v>170</v>
          </cell>
        </row>
        <row r="856">
          <cell r="C856">
            <v>94186.15</v>
          </cell>
        </row>
        <row r="857">
          <cell r="C857">
            <v>45</v>
          </cell>
        </row>
        <row r="858">
          <cell r="C858">
            <v>218468.43</v>
          </cell>
        </row>
        <row r="859">
          <cell r="C859">
            <v>1542.99</v>
          </cell>
        </row>
        <row r="860">
          <cell r="C860">
            <v>1229.76</v>
          </cell>
        </row>
        <row r="861">
          <cell r="C861">
            <v>410.7</v>
          </cell>
        </row>
        <row r="862">
          <cell r="C862">
            <v>185</v>
          </cell>
        </row>
        <row r="863">
          <cell r="C863">
            <v>1685.51</v>
          </cell>
        </row>
        <row r="864">
          <cell r="C864">
            <v>22978.66</v>
          </cell>
        </row>
        <row r="865">
          <cell r="C865">
            <v>745.53</v>
          </cell>
        </row>
        <row r="866">
          <cell r="C866">
            <v>17836.759999999998</v>
          </cell>
        </row>
        <row r="867">
          <cell r="C867">
            <v>40.270000000000003</v>
          </cell>
        </row>
        <row r="868">
          <cell r="C868">
            <v>1900.27</v>
          </cell>
        </row>
        <row r="869">
          <cell r="C869">
            <v>7863.13</v>
          </cell>
        </row>
        <row r="870">
          <cell r="C870">
            <v>24982.15</v>
          </cell>
        </row>
        <row r="871">
          <cell r="C871">
            <v>4332.79</v>
          </cell>
        </row>
        <row r="872">
          <cell r="C872">
            <v>900.34</v>
          </cell>
        </row>
        <row r="873">
          <cell r="C873">
            <v>4001.53</v>
          </cell>
        </row>
        <row r="874">
          <cell r="C874">
            <v>3696.28</v>
          </cell>
        </row>
        <row r="875">
          <cell r="C875">
            <v>3134.41</v>
          </cell>
        </row>
        <row r="876">
          <cell r="C876">
            <v>146.05000000000001</v>
          </cell>
        </row>
        <row r="877">
          <cell r="C877">
            <v>49.48</v>
          </cell>
        </row>
        <row r="878">
          <cell r="C878">
            <v>221.49</v>
          </cell>
        </row>
        <row r="879">
          <cell r="C879">
            <v>34973.18</v>
          </cell>
        </row>
        <row r="880">
          <cell r="C880">
            <v>448.81</v>
          </cell>
        </row>
        <row r="881">
          <cell r="C881">
            <v>5662.3</v>
          </cell>
        </row>
        <row r="882">
          <cell r="C882">
            <v>19605.080000000002</v>
          </cell>
        </row>
        <row r="883">
          <cell r="C883">
            <v>18957.16</v>
          </cell>
        </row>
        <row r="884">
          <cell r="C884">
            <v>722.41</v>
          </cell>
        </row>
        <row r="885">
          <cell r="C885">
            <v>625</v>
          </cell>
        </row>
        <row r="886">
          <cell r="C886">
            <v>52589.57</v>
          </cell>
        </row>
        <row r="887">
          <cell r="C887">
            <v>39343.449999999997</v>
          </cell>
        </row>
        <row r="888">
          <cell r="C888">
            <v>44645.29</v>
          </cell>
        </row>
        <row r="889">
          <cell r="C889">
            <v>1992.11</v>
          </cell>
        </row>
        <row r="890">
          <cell r="C890">
            <v>574.9</v>
          </cell>
        </row>
        <row r="891">
          <cell r="C891">
            <v>544</v>
          </cell>
        </row>
        <row r="892">
          <cell r="C892">
            <v>3857.88</v>
          </cell>
        </row>
        <row r="893">
          <cell r="C893">
            <v>0</v>
          </cell>
        </row>
        <row r="898">
          <cell r="C898">
            <v>2834.98</v>
          </cell>
        </row>
        <row r="899">
          <cell r="C899">
            <v>0</v>
          </cell>
        </row>
        <row r="900">
          <cell r="C900">
            <v>3051269.86</v>
          </cell>
        </row>
        <row r="901">
          <cell r="C901">
            <v>232.52</v>
          </cell>
        </row>
        <row r="902">
          <cell r="C902">
            <v>131938.21</v>
          </cell>
        </row>
        <row r="903">
          <cell r="C903">
            <v>490934.3</v>
          </cell>
        </row>
        <row r="904">
          <cell r="C904">
            <v>8662</v>
          </cell>
        </row>
        <row r="905">
          <cell r="C905">
            <v>208628.01</v>
          </cell>
        </row>
        <row r="906">
          <cell r="C906">
            <v>9063423.1199999992</v>
          </cell>
        </row>
        <row r="907">
          <cell r="C907">
            <v>2187648.86</v>
          </cell>
        </row>
        <row r="908">
          <cell r="C908">
            <v>3349822.82</v>
          </cell>
        </row>
        <row r="910">
          <cell r="C910">
            <v>146721</v>
          </cell>
        </row>
        <row r="911">
          <cell r="C911">
            <v>24860.87</v>
          </cell>
        </row>
        <row r="912">
          <cell r="C912">
            <v>5565.65</v>
          </cell>
        </row>
        <row r="913">
          <cell r="C913">
            <v>25649.78</v>
          </cell>
        </row>
        <row r="914">
          <cell r="C914">
            <v>971568.44</v>
          </cell>
        </row>
        <row r="915">
          <cell r="C915">
            <v>1712.99</v>
          </cell>
        </row>
        <row r="916">
          <cell r="C916">
            <v>600</v>
          </cell>
        </row>
        <row r="917">
          <cell r="C917">
            <v>290</v>
          </cell>
        </row>
        <row r="918">
          <cell r="C918">
            <v>1297.75</v>
          </cell>
        </row>
        <row r="919">
          <cell r="C919">
            <v>543.25</v>
          </cell>
        </row>
        <row r="920">
          <cell r="C920">
            <v>789.75</v>
          </cell>
        </row>
        <row r="921">
          <cell r="C921">
            <v>4429.46</v>
          </cell>
        </row>
        <row r="922">
          <cell r="C922">
            <v>2820</v>
          </cell>
        </row>
        <row r="923">
          <cell r="C923">
            <v>148.32</v>
          </cell>
        </row>
        <row r="924">
          <cell r="C924">
            <v>2732.5</v>
          </cell>
        </row>
        <row r="925">
          <cell r="C925">
            <v>28043.48</v>
          </cell>
        </row>
        <row r="926">
          <cell r="C926">
            <v>2232.4</v>
          </cell>
        </row>
        <row r="927">
          <cell r="C927">
            <v>100.98</v>
          </cell>
        </row>
        <row r="928">
          <cell r="C928">
            <v>176.54</v>
          </cell>
        </row>
        <row r="929">
          <cell r="C929">
            <v>39.99</v>
          </cell>
        </row>
        <row r="930">
          <cell r="C930">
            <v>187.37</v>
          </cell>
        </row>
        <row r="931">
          <cell r="C931">
            <v>31.02</v>
          </cell>
        </row>
        <row r="932">
          <cell r="C932">
            <v>15161.75</v>
          </cell>
        </row>
        <row r="940">
          <cell r="C940">
            <v>2834.29</v>
          </cell>
        </row>
        <row r="948">
          <cell r="C948">
            <v>529.08000000000004</v>
          </cell>
        </row>
        <row r="953">
          <cell r="C953">
            <v>25338.79</v>
          </cell>
        </row>
        <row r="958">
          <cell r="C958">
            <v>0</v>
          </cell>
        </row>
        <row r="964">
          <cell r="C964">
            <v>0</v>
          </cell>
        </row>
        <row r="969">
          <cell r="C969">
            <v>0</v>
          </cell>
        </row>
        <row r="975">
          <cell r="C975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FDAF-5131-428D-8BA0-ACCC0DA8EC31}">
  <sheetPr>
    <pageSetUpPr fitToPage="1"/>
  </sheetPr>
  <dimension ref="A1:AJ168"/>
  <sheetViews>
    <sheetView tabSelected="1" topLeftCell="A22" zoomScaleNormal="100" workbookViewId="0">
      <selection activeCell="A158" sqref="A158:A160"/>
    </sheetView>
  </sheetViews>
  <sheetFormatPr defaultColWidth="8.28515625" defaultRowHeight="15" outlineLevelRow="1" x14ac:dyDescent="0.3"/>
  <cols>
    <col min="1" max="1" width="15.28515625" style="11" customWidth="1"/>
    <col min="2" max="2" width="20.140625" style="11" customWidth="1"/>
    <col min="3" max="3" width="19.42578125" style="11" customWidth="1"/>
    <col min="4" max="4" width="10.28515625" style="11" customWidth="1"/>
    <col min="5" max="5" width="10.140625" style="11" hidden="1" customWidth="1"/>
    <col min="6" max="6" width="9" style="11" hidden="1" customWidth="1"/>
    <col min="7" max="7" width="9.85546875" style="11" hidden="1" customWidth="1"/>
    <col min="8" max="11" width="13.42578125" style="11" customWidth="1"/>
    <col min="12" max="12" width="11.5703125" style="11" customWidth="1"/>
    <col min="13" max="13" width="13.42578125" style="11" customWidth="1"/>
    <col min="14" max="14" width="13.42578125" style="11" bestFit="1" customWidth="1"/>
    <col min="15" max="15" width="12" style="11" customWidth="1"/>
    <col min="16" max="19" width="13.42578125" style="11" bestFit="1" customWidth="1"/>
    <col min="20" max="20" width="9" style="11" bestFit="1" customWidth="1"/>
    <col min="21" max="21" width="9.28515625" style="11" hidden="1" customWidth="1"/>
    <col min="22" max="22" width="14" style="11" bestFit="1" customWidth="1"/>
    <col min="23" max="23" width="10.28515625" style="11" bestFit="1" customWidth="1"/>
    <col min="24" max="24" width="63" style="11" hidden="1" customWidth="1"/>
    <col min="25" max="25" width="4.28515625" style="11" hidden="1" customWidth="1"/>
    <col min="26" max="26" width="13.42578125" style="11" hidden="1" customWidth="1"/>
    <col min="27" max="27" width="12.7109375" style="11" hidden="1" customWidth="1"/>
    <col min="28" max="28" width="11.5703125" style="11" hidden="1" customWidth="1"/>
    <col min="29" max="29" width="4.28515625" style="11" hidden="1" customWidth="1"/>
    <col min="30" max="30" width="13.42578125" style="11" hidden="1" customWidth="1"/>
    <col min="31" max="31" width="14.5703125" style="11" hidden="1" customWidth="1"/>
    <col min="32" max="32" width="11.5703125" style="11" hidden="1" customWidth="1"/>
    <col min="33" max="33" width="4.28515625" style="11" hidden="1" customWidth="1"/>
    <col min="34" max="34" width="13.42578125" style="11" hidden="1" customWidth="1"/>
    <col min="35" max="35" width="12.7109375" style="11" hidden="1" customWidth="1"/>
    <col min="36" max="36" width="11.5703125" style="11" hidden="1" customWidth="1"/>
    <col min="37" max="16384" width="8.28515625" style="11"/>
  </cols>
  <sheetData>
    <row r="1" spans="1:36" s="6" customFormat="1" x14ac:dyDescent="0.3">
      <c r="A1" s="1"/>
      <c r="B1" s="2"/>
      <c r="C1" s="2"/>
      <c r="D1" s="2"/>
      <c r="E1" s="306" t="s">
        <v>0</v>
      </c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"/>
      <c r="Z1" s="4"/>
      <c r="AA1" s="4"/>
      <c r="AB1" s="4"/>
      <c r="AC1" s="5"/>
      <c r="AD1" s="4"/>
      <c r="AE1" s="4"/>
      <c r="AF1" s="4"/>
      <c r="AH1" s="4"/>
      <c r="AI1" s="4"/>
      <c r="AJ1" s="4"/>
    </row>
    <row r="2" spans="1:36" s="6" customFormat="1" ht="16.5" x14ac:dyDescent="0.3">
      <c r="A2" s="3"/>
      <c r="B2" s="2"/>
      <c r="C2" s="2"/>
      <c r="D2" s="7"/>
      <c r="E2" s="306" t="s">
        <v>1</v>
      </c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"/>
      <c r="Z2" s="4"/>
      <c r="AA2" s="4"/>
      <c r="AB2" s="4"/>
      <c r="AC2" s="5"/>
      <c r="AD2" s="4"/>
      <c r="AE2" s="4"/>
      <c r="AF2" s="4"/>
      <c r="AH2" s="4"/>
      <c r="AI2" s="4"/>
      <c r="AJ2" s="4"/>
    </row>
    <row r="3" spans="1:36" s="6" customFormat="1" x14ac:dyDescent="0.3">
      <c r="A3" s="8"/>
      <c r="B3" s="2"/>
      <c r="C3" s="2"/>
      <c r="D3" s="2"/>
      <c r="E3" s="307" t="s">
        <v>2</v>
      </c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9"/>
      <c r="Z3" s="4"/>
      <c r="AA3" s="4"/>
      <c r="AB3" s="4"/>
      <c r="AC3" s="5"/>
      <c r="AD3" s="4"/>
      <c r="AE3" s="4"/>
      <c r="AF3" s="4"/>
      <c r="AH3" s="4"/>
      <c r="AI3" s="4"/>
      <c r="AJ3" s="4"/>
    </row>
    <row r="4" spans="1:36" s="6" customFormat="1" ht="15" customHeight="1" x14ac:dyDescent="0.3">
      <c r="A4" s="10"/>
      <c r="B4" s="3"/>
      <c r="C4" s="3"/>
      <c r="D4" s="3"/>
      <c r="F4" s="3"/>
      <c r="G4" s="3"/>
      <c r="H4" s="3"/>
      <c r="I4" s="3"/>
      <c r="J4" s="306"/>
      <c r="K4" s="306"/>
      <c r="L4" s="306"/>
      <c r="M4" s="306"/>
      <c r="N4" s="30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1"/>
      <c r="AA4" s="11"/>
      <c r="AB4" s="11"/>
      <c r="AC4" s="3"/>
      <c r="AD4" s="11"/>
      <c r="AE4" s="11"/>
      <c r="AF4" s="11"/>
      <c r="AG4" s="3"/>
      <c r="AH4" s="11"/>
      <c r="AI4" s="11"/>
      <c r="AJ4" s="11"/>
    </row>
    <row r="5" spans="1:36" s="6" customFormat="1" ht="15.75" customHeight="1" thickBot="1" x14ac:dyDescent="0.3">
      <c r="A5" s="3" t="s">
        <v>3</v>
      </c>
      <c r="B5" s="12"/>
      <c r="C5" s="12"/>
      <c r="D5" s="12"/>
      <c r="E5" s="12"/>
      <c r="F5" s="12"/>
      <c r="G5" s="12"/>
      <c r="H5" s="12"/>
      <c r="I5" s="308"/>
      <c r="J5" s="308"/>
      <c r="K5" s="308"/>
      <c r="L5" s="308"/>
      <c r="M5" s="308"/>
      <c r="N5" s="308"/>
      <c r="O5" s="308"/>
      <c r="P5" s="13"/>
      <c r="Q5" s="14"/>
      <c r="R5" s="14"/>
      <c r="S5" s="14"/>
      <c r="T5" s="14"/>
      <c r="U5" s="14"/>
    </row>
    <row r="6" spans="1:36" s="6" customFormat="1" x14ac:dyDescent="0.3">
      <c r="A6" s="15" t="s">
        <v>4</v>
      </c>
      <c r="B6" s="15" t="s">
        <v>5</v>
      </c>
      <c r="C6" s="15"/>
      <c r="D6" s="15"/>
      <c r="E6" s="309" t="s">
        <v>6</v>
      </c>
      <c r="F6" s="310"/>
      <c r="G6" s="311"/>
      <c r="H6" s="312" t="s">
        <v>7</v>
      </c>
      <c r="I6" s="313"/>
      <c r="J6" s="313"/>
      <c r="K6" s="313"/>
      <c r="L6" s="313"/>
      <c r="M6" s="313"/>
      <c r="N6" s="313"/>
      <c r="O6" s="313"/>
      <c r="P6" s="314"/>
      <c r="Q6" s="315" t="s">
        <v>8</v>
      </c>
      <c r="R6" s="316"/>
      <c r="S6" s="316"/>
      <c r="T6" s="316"/>
      <c r="U6" s="16" t="s">
        <v>9</v>
      </c>
      <c r="V6" s="304" t="s">
        <v>10</v>
      </c>
      <c r="W6" s="305"/>
      <c r="X6" s="17" t="s">
        <v>11</v>
      </c>
      <c r="Y6" s="18"/>
      <c r="Z6" s="19" t="s">
        <v>12</v>
      </c>
      <c r="AA6" s="20"/>
      <c r="AB6" s="21"/>
      <c r="AC6" s="18"/>
      <c r="AD6" s="22" t="s">
        <v>12</v>
      </c>
      <c r="AE6" s="23"/>
      <c r="AF6" s="24"/>
      <c r="AH6" s="25" t="s">
        <v>12</v>
      </c>
      <c r="AI6" s="26"/>
      <c r="AJ6" s="27"/>
    </row>
    <row r="7" spans="1:36" s="6" customFormat="1" x14ac:dyDescent="0.3">
      <c r="A7" s="11"/>
      <c r="B7" s="11"/>
      <c r="C7" s="11"/>
      <c r="D7" s="11"/>
      <c r="E7" s="28" t="s">
        <v>12</v>
      </c>
      <c r="F7" s="29" t="s">
        <v>13</v>
      </c>
      <c r="G7" s="30" t="s">
        <v>14</v>
      </c>
      <c r="H7" s="31" t="s">
        <v>15</v>
      </c>
      <c r="I7" s="32" t="s">
        <v>16</v>
      </c>
      <c r="J7" s="32" t="s">
        <v>9</v>
      </c>
      <c r="K7" s="33" t="s">
        <v>17</v>
      </c>
      <c r="L7" s="33" t="s">
        <v>18</v>
      </c>
      <c r="M7" s="34" t="s">
        <v>19</v>
      </c>
      <c r="N7" s="35" t="s">
        <v>17</v>
      </c>
      <c r="O7" s="35" t="s">
        <v>18</v>
      </c>
      <c r="P7" s="34" t="s">
        <v>20</v>
      </c>
      <c r="Q7" s="36" t="s">
        <v>21</v>
      </c>
      <c r="R7" s="37" t="s">
        <v>22</v>
      </c>
      <c r="S7" s="37" t="s">
        <v>23</v>
      </c>
      <c r="T7" s="29" t="s">
        <v>24</v>
      </c>
      <c r="U7" s="38" t="s">
        <v>25</v>
      </c>
      <c r="V7" s="36" t="s">
        <v>26</v>
      </c>
      <c r="W7" s="39" t="s">
        <v>27</v>
      </c>
      <c r="X7" s="40" t="s">
        <v>28</v>
      </c>
      <c r="Y7" s="41"/>
      <c r="Z7" s="42" t="s">
        <v>8</v>
      </c>
      <c r="AA7" s="43"/>
      <c r="AB7" s="44"/>
      <c r="AC7" s="41"/>
      <c r="AD7" s="45" t="s">
        <v>8</v>
      </c>
      <c r="AE7" s="46"/>
      <c r="AF7" s="47"/>
      <c r="AH7" s="48" t="s">
        <v>8</v>
      </c>
      <c r="AI7" s="49"/>
      <c r="AJ7" s="50"/>
    </row>
    <row r="8" spans="1:36" s="6" customFormat="1" x14ac:dyDescent="0.3">
      <c r="A8" s="11"/>
      <c r="B8" s="51"/>
      <c r="C8" s="51"/>
      <c r="D8" s="51"/>
      <c r="E8" s="52"/>
      <c r="F8" s="32"/>
      <c r="G8" s="53" t="s">
        <v>29</v>
      </c>
      <c r="H8" s="31" t="s">
        <v>30</v>
      </c>
      <c r="I8" s="37" t="s">
        <v>31</v>
      </c>
      <c r="J8" s="37"/>
      <c r="K8" s="54" t="s">
        <v>32</v>
      </c>
      <c r="L8" s="54" t="s">
        <v>33</v>
      </c>
      <c r="M8" s="55" t="s">
        <v>7</v>
      </c>
      <c r="N8" s="56" t="s">
        <v>32</v>
      </c>
      <c r="O8" s="56" t="s">
        <v>33</v>
      </c>
      <c r="P8" s="55" t="s">
        <v>7</v>
      </c>
      <c r="Q8" s="57">
        <v>45721</v>
      </c>
      <c r="R8" s="37"/>
      <c r="S8" s="37"/>
      <c r="T8" s="39" t="s">
        <v>34</v>
      </c>
      <c r="U8" s="38" t="s">
        <v>35</v>
      </c>
      <c r="V8" s="58"/>
      <c r="W8" s="39"/>
      <c r="X8" s="59" t="s">
        <v>36</v>
      </c>
      <c r="Y8" s="41"/>
      <c r="Z8" s="60" t="s">
        <v>37</v>
      </c>
      <c r="AA8" s="61" t="s">
        <v>38</v>
      </c>
      <c r="AB8" s="62" t="s">
        <v>39</v>
      </c>
      <c r="AC8" s="41"/>
      <c r="AD8" s="63" t="s">
        <v>40</v>
      </c>
      <c r="AE8" s="64" t="s">
        <v>38</v>
      </c>
      <c r="AF8" s="65" t="s">
        <v>39</v>
      </c>
      <c r="AH8" s="66" t="s">
        <v>41</v>
      </c>
      <c r="AI8" s="67" t="s">
        <v>38</v>
      </c>
      <c r="AJ8" s="68" t="s">
        <v>39</v>
      </c>
    </row>
    <row r="9" spans="1:36" s="6" customFormat="1" ht="15.75" customHeight="1" thickBot="1" x14ac:dyDescent="0.35">
      <c r="A9" s="69"/>
      <c r="B9" s="69"/>
      <c r="C9" s="69"/>
      <c r="D9" s="70"/>
      <c r="E9" s="71">
        <v>44742</v>
      </c>
      <c r="F9" s="72"/>
      <c r="G9" s="73"/>
      <c r="H9" s="74"/>
      <c r="I9" s="72" t="s">
        <v>42</v>
      </c>
      <c r="J9" s="72"/>
      <c r="K9" s="75" t="s">
        <v>43</v>
      </c>
      <c r="L9" s="75" t="s">
        <v>43</v>
      </c>
      <c r="M9" s="76"/>
      <c r="N9" s="77" t="s">
        <v>44</v>
      </c>
      <c r="O9" s="77" t="s">
        <v>44</v>
      </c>
      <c r="P9" s="78">
        <v>45747</v>
      </c>
      <c r="Q9" s="79"/>
      <c r="R9" s="80"/>
      <c r="S9" s="80"/>
      <c r="T9" s="80"/>
      <c r="U9" s="81" t="s">
        <v>45</v>
      </c>
      <c r="V9" s="82"/>
      <c r="W9" s="83"/>
      <c r="X9" s="84"/>
      <c r="Y9" s="41"/>
      <c r="Z9" s="85"/>
      <c r="AA9" s="86"/>
      <c r="AB9" s="87"/>
      <c r="AC9" s="41"/>
      <c r="AD9" s="88"/>
      <c r="AE9" s="89"/>
      <c r="AF9" s="90"/>
      <c r="AH9" s="91"/>
      <c r="AI9" s="92"/>
      <c r="AJ9" s="93"/>
    </row>
    <row r="10" spans="1:36" x14ac:dyDescent="0.3">
      <c r="A10" s="10"/>
      <c r="E10" s="94"/>
      <c r="G10" s="95"/>
      <c r="H10" s="96"/>
      <c r="I10" s="10"/>
      <c r="J10" s="10"/>
      <c r="K10" s="10"/>
      <c r="L10" s="10"/>
      <c r="M10" s="10"/>
      <c r="N10" s="10"/>
      <c r="O10" s="10"/>
      <c r="P10" s="10"/>
      <c r="Q10" s="97"/>
      <c r="R10" s="10"/>
      <c r="S10" s="10"/>
      <c r="T10" s="98"/>
      <c r="U10" s="99"/>
      <c r="V10" s="96"/>
      <c r="W10" s="95"/>
      <c r="X10" s="96"/>
      <c r="Y10" s="100"/>
      <c r="Z10" s="96"/>
      <c r="AA10" s="101"/>
      <c r="AB10" s="102"/>
      <c r="AC10" s="100"/>
      <c r="AD10" s="96"/>
      <c r="AE10" s="101"/>
      <c r="AF10" s="102"/>
      <c r="AH10" s="96"/>
      <c r="AI10" s="101"/>
      <c r="AJ10" s="102"/>
    </row>
    <row r="11" spans="1:36" ht="13.35" hidden="1" customHeight="1" outlineLevel="1" x14ac:dyDescent="0.3">
      <c r="A11" s="103" t="s">
        <v>46</v>
      </c>
      <c r="E11" s="96"/>
      <c r="G11" s="102"/>
      <c r="H11" s="96"/>
      <c r="I11" s="10"/>
      <c r="J11" s="10"/>
      <c r="K11" s="10"/>
      <c r="L11" s="10"/>
      <c r="M11" s="10"/>
      <c r="N11" s="10"/>
      <c r="O11" s="10"/>
      <c r="P11" s="10"/>
      <c r="Q11" s="97"/>
      <c r="R11" s="10"/>
      <c r="S11" s="10"/>
      <c r="U11" s="100"/>
      <c r="V11" s="96"/>
      <c r="W11" s="102"/>
      <c r="X11" s="96"/>
      <c r="Y11" s="100"/>
      <c r="Z11" s="96"/>
      <c r="AA11" s="101"/>
      <c r="AB11" s="102"/>
      <c r="AC11" s="100"/>
      <c r="AD11" s="96"/>
      <c r="AE11" s="101"/>
      <c r="AF11" s="102"/>
      <c r="AH11" s="96"/>
      <c r="AI11" s="101"/>
      <c r="AJ11" s="102"/>
    </row>
    <row r="12" spans="1:36" s="120" customFormat="1" ht="13.35" hidden="1" customHeight="1" outlineLevel="1" x14ac:dyDescent="0.3">
      <c r="A12" s="104" t="s">
        <v>47</v>
      </c>
      <c r="B12" s="104" t="s">
        <v>48</v>
      </c>
      <c r="C12" s="104"/>
      <c r="D12" s="105" t="s">
        <v>49</v>
      </c>
      <c r="E12" s="106"/>
      <c r="F12" s="107">
        <v>1729.93</v>
      </c>
      <c r="G12" s="108">
        <f>E12-F12</f>
        <v>-1729.93</v>
      </c>
      <c r="H12" s="109">
        <v>176604400</v>
      </c>
      <c r="I12" s="110">
        <v>176604400</v>
      </c>
      <c r="J12" s="111">
        <f>I12-H12</f>
        <v>0</v>
      </c>
      <c r="K12" s="112">
        <v>176604100</v>
      </c>
      <c r="L12" s="110">
        <f>178700+838300+867+550000</f>
        <v>1567867</v>
      </c>
      <c r="M12" s="110">
        <f>K12+L12</f>
        <v>178171967</v>
      </c>
      <c r="N12" s="110"/>
      <c r="O12" s="110"/>
      <c r="P12" s="110">
        <f t="shared" ref="P12:P20" si="0">M12+N12+O12</f>
        <v>178171967</v>
      </c>
      <c r="Q12" s="109">
        <v>162747388.97999999</v>
      </c>
      <c r="R12" s="110">
        <f>'[1]Salary Projections'!B10-'[1]Operating Results'!Q12</f>
        <v>10202590.890000015</v>
      </c>
      <c r="S12" s="110">
        <f>SUM(Q12:R12)</f>
        <v>172949979.87</v>
      </c>
      <c r="T12" s="113">
        <f>IF(ISERR(Q12/S12),"-",Q12/S12)</f>
        <v>0.94100842973402532</v>
      </c>
      <c r="U12" s="114">
        <f t="shared" ref="U12:U21" si="1">S12-I12</f>
        <v>-3654420.1299999952</v>
      </c>
      <c r="V12" s="114">
        <f>P12-S12</f>
        <v>5221987.1299999952</v>
      </c>
      <c r="W12" s="115">
        <f>IF(ISERR(V12/P12),"-",V12/P12)</f>
        <v>2.9308691024329293E-2</v>
      </c>
      <c r="X12" s="116"/>
      <c r="Y12" s="117"/>
      <c r="Z12" s="118">
        <f>'[1]2021-22'!C45</f>
        <v>139777642.06999999</v>
      </c>
      <c r="AA12" s="119">
        <f>O12-Z12</f>
        <v>-139777642.06999999</v>
      </c>
      <c r="AB12" s="115">
        <f>IF(ISERR(AA12/Z12),"-",AA12/Z12)</f>
        <v>-1</v>
      </c>
      <c r="AC12" s="117"/>
      <c r="AD12" s="118">
        <v>138179161.40000001</v>
      </c>
      <c r="AE12" s="119">
        <f>S12-AD12</f>
        <v>34770818.469999999</v>
      </c>
      <c r="AF12" s="115">
        <f>IF(ISERR(AE12/AD12),"-",AE12/AD12)</f>
        <v>0.25163576126609782</v>
      </c>
      <c r="AH12" s="118">
        <f>133588773.74-37.94</f>
        <v>133588735.8</v>
      </c>
      <c r="AI12" s="119">
        <f>S12-AH12</f>
        <v>39361244.070000008</v>
      </c>
      <c r="AJ12" s="115">
        <f>IF(ISERR(AI12/AH12),"-",AI12/AH12)</f>
        <v>0.29464493270547149</v>
      </c>
    </row>
    <row r="13" spans="1:36" s="120" customFormat="1" ht="13.35" hidden="1" customHeight="1" outlineLevel="1" x14ac:dyDescent="0.3">
      <c r="A13" s="104"/>
      <c r="B13" s="104"/>
      <c r="C13" s="104"/>
      <c r="D13" s="105" t="s">
        <v>50</v>
      </c>
      <c r="E13" s="106"/>
      <c r="F13" s="107">
        <v>1710.82</v>
      </c>
      <c r="G13" s="108">
        <f>E13-F13</f>
        <v>-1710.82</v>
      </c>
      <c r="H13" s="109"/>
      <c r="I13" s="110"/>
      <c r="J13" s="121"/>
      <c r="K13" s="11"/>
      <c r="L13" s="11"/>
      <c r="M13" s="110"/>
      <c r="N13" s="110"/>
      <c r="O13" s="110"/>
      <c r="P13" s="122"/>
      <c r="Q13" s="109"/>
      <c r="R13" s="110"/>
      <c r="S13" s="110"/>
      <c r="T13" s="113"/>
      <c r="U13" s="123"/>
      <c r="V13" s="123"/>
      <c r="W13" s="115"/>
      <c r="X13" s="116"/>
      <c r="Y13" s="117"/>
      <c r="Z13" s="124"/>
      <c r="AA13" s="119"/>
      <c r="AB13" s="115"/>
      <c r="AC13" s="117"/>
      <c r="AD13" s="124"/>
      <c r="AE13" s="119"/>
      <c r="AF13" s="115"/>
      <c r="AH13" s="124"/>
      <c r="AI13" s="119"/>
      <c r="AJ13" s="115"/>
    </row>
    <row r="14" spans="1:36" s="37" customFormat="1" ht="13.35" hidden="1" customHeight="1" outlineLevel="1" x14ac:dyDescent="0.3">
      <c r="A14" s="125" t="s">
        <v>51</v>
      </c>
      <c r="B14" s="125" t="s">
        <v>52</v>
      </c>
      <c r="C14" s="126"/>
      <c r="D14" s="126"/>
      <c r="E14" s="127"/>
      <c r="F14" s="128"/>
      <c r="G14" s="129"/>
      <c r="H14" s="130">
        <f>5430500+92500</f>
        <v>5523000</v>
      </c>
      <c r="I14" s="131">
        <v>5523000</v>
      </c>
      <c r="J14" s="132">
        <f>I14-H14</f>
        <v>0</v>
      </c>
      <c r="K14" s="11">
        <v>5522900</v>
      </c>
      <c r="L14" s="11">
        <v>9248</v>
      </c>
      <c r="M14" s="122">
        <f>K14+L14</f>
        <v>5532148</v>
      </c>
      <c r="N14" s="122"/>
      <c r="O14" s="122"/>
      <c r="P14" s="122">
        <f t="shared" si="0"/>
        <v>5532148</v>
      </c>
      <c r="Q14" s="133">
        <v>6903397.25</v>
      </c>
      <c r="R14" s="134">
        <f>'[1]Salary Projections'!B17-'[1]Operating Results'!Q14</f>
        <v>1037285.0139999995</v>
      </c>
      <c r="S14" s="135">
        <f>SUM(Q14:R14)</f>
        <v>7940682.2639999995</v>
      </c>
      <c r="T14" s="136">
        <f t="shared" ref="T14:T22" si="2">IF(ISERR(Q14/S14),"-",Q14/S14)</f>
        <v>0.86937079466047262</v>
      </c>
      <c r="U14" s="137">
        <f t="shared" si="1"/>
        <v>2417682.2639999995</v>
      </c>
      <c r="V14" s="137">
        <f t="shared" ref="V14:V21" si="3">P14-S14</f>
        <v>-2408534.2639999995</v>
      </c>
      <c r="W14" s="115">
        <f>IF(ISERR(V14/P14),"-",V14/P14)</f>
        <v>-0.43537054033984618</v>
      </c>
      <c r="X14" s="138"/>
      <c r="Y14" s="139"/>
      <c r="Z14" s="130">
        <f>'[1]2021-22'!C47+'[1]2021-22'!C113</f>
        <v>5657218.0899999999</v>
      </c>
      <c r="AA14" s="140">
        <f>O14-Z14</f>
        <v>-5657218.0899999999</v>
      </c>
      <c r="AB14" s="115">
        <f>IF(ISERR(AA14/Z14),"-",AA14/Z14)</f>
        <v>-1</v>
      </c>
      <c r="AC14" s="139"/>
      <c r="AD14" s="130">
        <v>5720710.290000001</v>
      </c>
      <c r="AE14" s="140">
        <f>S14-AD14</f>
        <v>2219971.9739999985</v>
      </c>
      <c r="AF14" s="115">
        <f>IF(ISERR(AE14/AD14),"-",AE14/AD14)</f>
        <v>0.38805880064938547</v>
      </c>
      <c r="AH14" s="130">
        <f>5204095.43+301304.12</f>
        <v>5505399.5499999998</v>
      </c>
      <c r="AI14" s="140">
        <f>S14-AH14</f>
        <v>2435282.7139999997</v>
      </c>
      <c r="AJ14" s="115">
        <f t="shared" ref="AJ14:AJ16" si="4">IF(ISERR(AI14/AH14),"-",AI14/AH14)</f>
        <v>0.44234440968049266</v>
      </c>
    </row>
    <row r="15" spans="1:36" s="141" customFormat="1" ht="13.35" hidden="1" customHeight="1" outlineLevel="1" x14ac:dyDescent="0.3">
      <c r="A15" s="104" t="s">
        <v>53</v>
      </c>
      <c r="B15" s="104" t="s">
        <v>54</v>
      </c>
      <c r="E15" s="142"/>
      <c r="F15" s="143"/>
      <c r="G15" s="144"/>
      <c r="H15" s="130"/>
      <c r="I15" s="131"/>
      <c r="J15" s="132">
        <f t="shared" ref="J15:J21" si="5">I15-H15</f>
        <v>0</v>
      </c>
      <c r="K15" s="11">
        <v>2576500</v>
      </c>
      <c r="L15" s="11"/>
      <c r="M15" s="122">
        <f t="shared" ref="M15:M21" si="6">K15+L15</f>
        <v>2576500</v>
      </c>
      <c r="N15" s="122"/>
      <c r="O15" s="122">
        <v>-2576500</v>
      </c>
      <c r="P15" s="122">
        <f t="shared" si="0"/>
        <v>0</v>
      </c>
      <c r="Q15" s="133"/>
      <c r="R15" s="145"/>
      <c r="S15" s="135">
        <f t="shared" ref="S15:S21" si="7">SUM(Q15:R15)</f>
        <v>0</v>
      </c>
      <c r="T15" s="136" t="str">
        <f t="shared" si="2"/>
        <v>-</v>
      </c>
      <c r="U15" s="137">
        <f t="shared" si="1"/>
        <v>0</v>
      </c>
      <c r="V15" s="137">
        <f t="shared" si="3"/>
        <v>0</v>
      </c>
      <c r="W15" s="115" t="str">
        <f t="shared" ref="W15:W22" si="8">IF(ISERR(V15/P15),"-",V15/P15)</f>
        <v>-</v>
      </c>
      <c r="X15" s="146"/>
      <c r="Y15" s="147"/>
      <c r="Z15" s="130">
        <f>'[1]2021-22'!C46+SUM('[1]2021-22'!C48:C80)+SUM('[1]2021-22'!C85:C86)+SUM('[1]2021-22'!C89:C107)</f>
        <v>4649246.18</v>
      </c>
      <c r="AA15" s="140">
        <f>O15-Z15</f>
        <v>-7225746.1799999997</v>
      </c>
      <c r="AB15" s="115">
        <f>IF(ISERR(AA15/Z15),"-",AA15/Z15)</f>
        <v>-1.5541758599670452</v>
      </c>
      <c r="AC15" s="147"/>
      <c r="AD15" s="130">
        <v>1522023.93</v>
      </c>
      <c r="AE15" s="140">
        <f>S15-AD15</f>
        <v>-1522023.93</v>
      </c>
      <c r="AF15" s="115">
        <f>IF(ISERR(AE15/AD15),"-",AE15/AD15)</f>
        <v>-1</v>
      </c>
      <c r="AH15" s="130">
        <v>2273060.5500000003</v>
      </c>
      <c r="AI15" s="140">
        <f>S15-AH15</f>
        <v>-2273060.5500000003</v>
      </c>
      <c r="AJ15" s="115">
        <f t="shared" si="4"/>
        <v>-1</v>
      </c>
    </row>
    <row r="16" spans="1:36" s="141" customFormat="1" ht="13.35" hidden="1" customHeight="1" outlineLevel="1" x14ac:dyDescent="0.3">
      <c r="A16" s="104" t="s">
        <v>55</v>
      </c>
      <c r="B16" s="104" t="s">
        <v>56</v>
      </c>
      <c r="E16" s="142"/>
      <c r="F16" s="143"/>
      <c r="G16" s="144"/>
      <c r="H16" s="130">
        <v>3217100</v>
      </c>
      <c r="I16" s="131">
        <f>3217100+300000</f>
        <v>3517100</v>
      </c>
      <c r="J16" s="132">
        <f t="shared" si="5"/>
        <v>300000</v>
      </c>
      <c r="K16" s="11">
        <v>3217000</v>
      </c>
      <c r="L16" s="11">
        <f>15000+43171+42260+27248+164690+90050+2899+4225+1600+17400</f>
        <v>408543</v>
      </c>
      <c r="M16" s="122">
        <f t="shared" si="6"/>
        <v>3625543</v>
      </c>
      <c r="N16" s="122"/>
      <c r="O16" s="122">
        <f>300000</f>
        <v>300000</v>
      </c>
      <c r="P16" s="122">
        <f t="shared" si="0"/>
        <v>3925543</v>
      </c>
      <c r="Q16" s="133">
        <v>3191494.27</v>
      </c>
      <c r="R16" s="145">
        <f>P16-Q16</f>
        <v>734048.73</v>
      </c>
      <c r="S16" s="135">
        <f t="shared" ref="S16:S17" si="9">SUM(Q16:R16)</f>
        <v>3925543</v>
      </c>
      <c r="T16" s="136">
        <f t="shared" si="2"/>
        <v>0.8130070846249805</v>
      </c>
      <c r="U16" s="137">
        <f t="shared" si="1"/>
        <v>408443</v>
      </c>
      <c r="V16" s="137">
        <f t="shared" si="3"/>
        <v>0</v>
      </c>
      <c r="W16" s="115">
        <f t="shared" si="8"/>
        <v>0</v>
      </c>
      <c r="X16" s="146"/>
      <c r="Y16" s="147"/>
      <c r="Z16" s="130">
        <f>SUM('[1]2021-22'!C81:C84)+SUM('[1]2021-22'!C87:C88)+SUM('[1]2021-22'!C132:C133)+'[1]2021-22'!C135+SUM('[1]2021-22'!C242:C243)</f>
        <v>1186948.31</v>
      </c>
      <c r="AA16" s="140">
        <f>O16-Z16</f>
        <v>-886948.31</v>
      </c>
      <c r="AB16" s="115">
        <f>IF(ISERR(AA16/Z16),"-",AA16/Z16)</f>
        <v>-0.74725099865553535</v>
      </c>
      <c r="AC16" s="147"/>
      <c r="AD16" s="130">
        <v>1606083.2</v>
      </c>
      <c r="AE16" s="140">
        <f>S16-AD16</f>
        <v>2319459.7999999998</v>
      </c>
      <c r="AF16" s="115">
        <f>IF(ISERR(AE16/AD16),"-",AE16/AD16)</f>
        <v>1.4441716344458368</v>
      </c>
      <c r="AH16" s="130">
        <v>1638439.69</v>
      </c>
      <c r="AI16" s="140">
        <f>S16-AH16</f>
        <v>2287103.31</v>
      </c>
      <c r="AJ16" s="115">
        <f t="shared" si="4"/>
        <v>1.3959032633053463</v>
      </c>
    </row>
    <row r="17" spans="1:36" s="141" customFormat="1" ht="13.35" hidden="1" customHeight="1" outlineLevel="1" x14ac:dyDescent="0.3">
      <c r="A17" s="104" t="s">
        <v>53</v>
      </c>
      <c r="B17" s="104" t="s">
        <v>57</v>
      </c>
      <c r="E17" s="142"/>
      <c r="F17" s="143"/>
      <c r="G17" s="144"/>
      <c r="H17" s="130">
        <f>10500+16500+7500+1500+1500+1500+10000</f>
        <v>49000</v>
      </c>
      <c r="I17" s="131">
        <f>500000+49000</f>
        <v>549000</v>
      </c>
      <c r="J17" s="132">
        <f t="shared" si="5"/>
        <v>500000</v>
      </c>
      <c r="K17" s="11">
        <v>47900</v>
      </c>
      <c r="L17" s="11">
        <f>742.5+500000+24111+24111+191400+29600</f>
        <v>769964.5</v>
      </c>
      <c r="M17" s="122">
        <f t="shared" si="6"/>
        <v>817864.5</v>
      </c>
      <c r="N17" s="122"/>
      <c r="O17" s="122"/>
      <c r="P17" s="122">
        <f t="shared" si="0"/>
        <v>817864.5</v>
      </c>
      <c r="Q17" s="133">
        <v>2228654.16</v>
      </c>
      <c r="R17" s="145">
        <f>1000000-Q17</f>
        <v>-1228654.1600000001</v>
      </c>
      <c r="S17" s="135">
        <f t="shared" si="9"/>
        <v>1000000</v>
      </c>
      <c r="T17" s="136">
        <f t="shared" si="2"/>
        <v>2.2286541600000001</v>
      </c>
      <c r="U17" s="137">
        <f t="shared" si="1"/>
        <v>451000</v>
      </c>
      <c r="V17" s="137">
        <f t="shared" si="3"/>
        <v>-182135.5</v>
      </c>
      <c r="W17" s="115">
        <f t="shared" si="8"/>
        <v>-0.22269642465224984</v>
      </c>
      <c r="X17" s="146"/>
      <c r="Y17" s="147"/>
      <c r="Z17" s="130"/>
      <c r="AA17" s="140"/>
      <c r="AB17" s="115"/>
      <c r="AC17" s="147"/>
      <c r="AD17" s="130"/>
      <c r="AE17" s="140"/>
      <c r="AF17" s="115"/>
      <c r="AH17" s="130"/>
      <c r="AI17" s="140"/>
      <c r="AJ17" s="115"/>
    </row>
    <row r="18" spans="1:36" ht="13.35" hidden="1" customHeight="1" outlineLevel="1" x14ac:dyDescent="0.3">
      <c r="A18" s="51" t="s">
        <v>58</v>
      </c>
      <c r="B18" s="51" t="s">
        <v>59</v>
      </c>
      <c r="E18" s="148"/>
      <c r="F18" s="149"/>
      <c r="G18" s="150"/>
      <c r="H18" s="151">
        <v>923200</v>
      </c>
      <c r="I18" s="131">
        <v>923200</v>
      </c>
      <c r="J18" s="132">
        <f t="shared" si="5"/>
        <v>0</v>
      </c>
      <c r="K18" s="152">
        <v>923200</v>
      </c>
      <c r="L18" s="152"/>
      <c r="M18" s="122">
        <f t="shared" si="6"/>
        <v>923200</v>
      </c>
      <c r="N18" s="122"/>
      <c r="O18" s="122"/>
      <c r="P18" s="122">
        <f t="shared" si="0"/>
        <v>923200</v>
      </c>
      <c r="Q18" s="153">
        <f>233290.73+533280.92</f>
        <v>766571.65</v>
      </c>
      <c r="R18" s="152">
        <f>P18-Q18</f>
        <v>156628.34999999998</v>
      </c>
      <c r="S18" s="135">
        <f t="shared" si="7"/>
        <v>923200</v>
      </c>
      <c r="T18" s="136">
        <f t="shared" si="2"/>
        <v>0.83034190857885615</v>
      </c>
      <c r="U18" s="137">
        <f t="shared" si="1"/>
        <v>0</v>
      </c>
      <c r="V18" s="137">
        <f t="shared" si="3"/>
        <v>0</v>
      </c>
      <c r="W18" s="115">
        <f t="shared" si="8"/>
        <v>0</v>
      </c>
      <c r="X18" s="154"/>
      <c r="Y18" s="155"/>
      <c r="Z18" s="156">
        <f>'[1]2021-22'!C254</f>
        <v>642127.06999999995</v>
      </c>
      <c r="AA18" s="140">
        <f>O18-Z18</f>
        <v>-642127.06999999995</v>
      </c>
      <c r="AB18" s="115">
        <f>IF(ISERR(AA18/Z18),"-",AA18/Z18)</f>
        <v>-1</v>
      </c>
      <c r="AC18" s="155"/>
      <c r="AD18" s="156">
        <v>751708.31</v>
      </c>
      <c r="AE18" s="140">
        <f>S18-AD18</f>
        <v>171491.68999999994</v>
      </c>
      <c r="AF18" s="115">
        <f>IF(ISERR(AE18/AD18),"-",AE18/AD18)</f>
        <v>0.22813595076526416</v>
      </c>
      <c r="AH18" s="156">
        <v>631242.92000000004</v>
      </c>
      <c r="AI18" s="140">
        <f>S18-AH18</f>
        <v>291957.07999999996</v>
      </c>
      <c r="AJ18" s="115">
        <f t="shared" ref="AJ18:AJ22" si="10">IF(ISERR(AI18/AH18),"-",AI18/AH18)</f>
        <v>0.46251145280172001</v>
      </c>
    </row>
    <row r="19" spans="1:36" ht="13.35" hidden="1" customHeight="1" outlineLevel="1" x14ac:dyDescent="0.3">
      <c r="A19" s="51" t="s">
        <v>60</v>
      </c>
      <c r="B19" s="51" t="s">
        <v>61</v>
      </c>
      <c r="E19" s="148"/>
      <c r="F19" s="149"/>
      <c r="G19" s="150"/>
      <c r="H19" s="151"/>
      <c r="I19" s="131"/>
      <c r="J19" s="132">
        <f t="shared" si="5"/>
        <v>0</v>
      </c>
      <c r="K19" s="152"/>
      <c r="L19" s="152"/>
      <c r="M19" s="122">
        <f t="shared" si="6"/>
        <v>0</v>
      </c>
      <c r="N19" s="122"/>
      <c r="O19" s="122">
        <v>120000</v>
      </c>
      <c r="P19" s="122">
        <f t="shared" si="0"/>
        <v>120000</v>
      </c>
      <c r="Q19" s="153">
        <v>62649.86</v>
      </c>
      <c r="R19" s="152">
        <f>120000-Q19</f>
        <v>57350.14</v>
      </c>
      <c r="S19" s="135">
        <f t="shared" ref="S19" si="11">SUM(Q19:R19)</f>
        <v>120000</v>
      </c>
      <c r="T19" s="136">
        <f t="shared" si="2"/>
        <v>0.52208216666666662</v>
      </c>
      <c r="U19" s="137">
        <f t="shared" si="1"/>
        <v>120000</v>
      </c>
      <c r="V19" s="137">
        <f t="shared" si="3"/>
        <v>0</v>
      </c>
      <c r="W19" s="115">
        <f t="shared" si="8"/>
        <v>0</v>
      </c>
      <c r="X19" s="154"/>
      <c r="Y19" s="155"/>
      <c r="Z19" s="156">
        <f>'[1]2021-22'!C267</f>
        <v>6306.31</v>
      </c>
      <c r="AA19" s="140">
        <f>O19-Z19</f>
        <v>113693.69</v>
      </c>
      <c r="AB19" s="115">
        <f>IF(ISERR(AA19/Z19),"-",AA19/Z19)</f>
        <v>18.028560283271833</v>
      </c>
      <c r="AC19" s="155"/>
      <c r="AD19" s="156">
        <v>863.24</v>
      </c>
      <c r="AE19" s="140">
        <f>S19-AD19</f>
        <v>119136.76</v>
      </c>
      <c r="AF19" s="115">
        <f>IF(ISERR(AE19/AD19),"-",AE19/AD19)</f>
        <v>138.01116723043418</v>
      </c>
      <c r="AH19" s="156">
        <v>6579.25</v>
      </c>
      <c r="AI19" s="140">
        <f>S19-AH19</f>
        <v>113420.75</v>
      </c>
      <c r="AJ19" s="115">
        <f t="shared" si="10"/>
        <v>17.239160998594066</v>
      </c>
    </row>
    <row r="20" spans="1:36" ht="13.35" hidden="1" customHeight="1" outlineLevel="1" x14ac:dyDescent="0.3">
      <c r="A20" s="51" t="s">
        <v>62</v>
      </c>
      <c r="B20" s="51" t="s">
        <v>63</v>
      </c>
      <c r="E20" s="148"/>
      <c r="F20" s="149"/>
      <c r="G20" s="150"/>
      <c r="H20" s="151">
        <v>223300</v>
      </c>
      <c r="I20" s="131">
        <v>223300</v>
      </c>
      <c r="J20" s="132">
        <f t="shared" si="5"/>
        <v>0</v>
      </c>
      <c r="K20" s="152">
        <v>223500</v>
      </c>
      <c r="L20" s="152"/>
      <c r="M20" s="122">
        <f t="shared" si="6"/>
        <v>223500</v>
      </c>
      <c r="N20" s="122"/>
      <c r="O20" s="122"/>
      <c r="P20" s="122">
        <f t="shared" si="0"/>
        <v>223500</v>
      </c>
      <c r="Q20" s="137">
        <v>-297469.57</v>
      </c>
      <c r="R20" s="152">
        <f>P20-Q20</f>
        <v>520969.57</v>
      </c>
      <c r="S20" s="135">
        <f t="shared" si="7"/>
        <v>223500</v>
      </c>
      <c r="T20" s="136">
        <f t="shared" si="2"/>
        <v>-1.3309600447427294</v>
      </c>
      <c r="U20" s="137">
        <f t="shared" si="1"/>
        <v>200</v>
      </c>
      <c r="V20" s="137">
        <f t="shared" si="3"/>
        <v>0</v>
      </c>
      <c r="W20" s="115">
        <f t="shared" si="8"/>
        <v>0</v>
      </c>
      <c r="X20" s="154"/>
      <c r="Y20" s="155"/>
      <c r="Z20" s="156">
        <f>'[1]2021-22'!C301</f>
        <v>226200</v>
      </c>
      <c r="AA20" s="140">
        <f>O20-Z20</f>
        <v>-226200</v>
      </c>
      <c r="AB20" s="115">
        <f>IF(ISERR(AA20/Z20),"-",AA20/Z20)</f>
        <v>-1</v>
      </c>
      <c r="AC20" s="155"/>
      <c r="AD20" s="156">
        <v>223600</v>
      </c>
      <c r="AE20" s="140">
        <f>S20-AD20</f>
        <v>-100</v>
      </c>
      <c r="AF20" s="115">
        <f>IF(ISERR(AE20/AD20),"-",AE20/AD20)</f>
        <v>-4.4722719141323793E-4</v>
      </c>
      <c r="AH20" s="156">
        <v>224800</v>
      </c>
      <c r="AI20" s="140">
        <f>S20-AH20</f>
        <v>-1300</v>
      </c>
      <c r="AJ20" s="115">
        <f t="shared" si="10"/>
        <v>-5.7829181494661918E-3</v>
      </c>
    </row>
    <row r="21" spans="1:36" ht="13.35" hidden="1" customHeight="1" outlineLevel="1" x14ac:dyDescent="0.3">
      <c r="A21" s="51" t="s">
        <v>64</v>
      </c>
      <c r="B21" s="51" t="s">
        <v>65</v>
      </c>
      <c r="E21" s="148"/>
      <c r="F21" s="149"/>
      <c r="G21" s="150"/>
      <c r="H21" s="157"/>
      <c r="I21" s="131">
        <v>106320</v>
      </c>
      <c r="J21" s="132">
        <f t="shared" si="5"/>
        <v>106320</v>
      </c>
      <c r="K21" s="152"/>
      <c r="L21" s="152">
        <f>3000</f>
        <v>3000</v>
      </c>
      <c r="M21" s="122">
        <f t="shared" si="6"/>
        <v>3000</v>
      </c>
      <c r="N21" s="122"/>
      <c r="O21" s="122">
        <v>106320</v>
      </c>
      <c r="P21" s="122">
        <f>M21+N21+O21</f>
        <v>109320</v>
      </c>
      <c r="Q21" s="137">
        <v>97554.03</v>
      </c>
      <c r="R21" s="152">
        <f>P21-Q21</f>
        <v>11765.970000000001</v>
      </c>
      <c r="S21" s="135">
        <f t="shared" si="7"/>
        <v>109320</v>
      </c>
      <c r="T21" s="136">
        <f t="shared" si="2"/>
        <v>0.89237129527991221</v>
      </c>
      <c r="U21" s="137">
        <f t="shared" si="1"/>
        <v>3000</v>
      </c>
      <c r="V21" s="137">
        <f t="shared" si="3"/>
        <v>0</v>
      </c>
      <c r="W21" s="115">
        <f t="shared" si="8"/>
        <v>0</v>
      </c>
      <c r="X21" s="154"/>
      <c r="Y21" s="155"/>
      <c r="Z21" s="156">
        <f>'[1]2021-22'!C806</f>
        <v>40387.129999999997</v>
      </c>
      <c r="AA21" s="140">
        <f>O21-Z21</f>
        <v>65932.87</v>
      </c>
      <c r="AB21" s="115">
        <f>IF(ISERR(AA21/Z21),"-",AA21/Z21)</f>
        <v>1.6325217959285545</v>
      </c>
      <c r="AC21" s="155"/>
      <c r="AD21" s="156">
        <v>86256.1</v>
      </c>
      <c r="AE21" s="140">
        <f>S21-AD21</f>
        <v>23063.899999999994</v>
      </c>
      <c r="AF21" s="115">
        <f>IF(ISERR(AE21/AD21),"-",AE21/AD21)</f>
        <v>0.26738862526824181</v>
      </c>
      <c r="AH21" s="156">
        <v>0</v>
      </c>
      <c r="AI21" s="140">
        <f>S21-AH21</f>
        <v>109320</v>
      </c>
      <c r="AJ21" s="115" t="str">
        <f t="shared" si="10"/>
        <v>-</v>
      </c>
    </row>
    <row r="22" spans="1:36" ht="13.35" customHeight="1" collapsed="1" x14ac:dyDescent="0.3">
      <c r="A22" s="1" t="s">
        <v>66</v>
      </c>
      <c r="B22" s="10"/>
      <c r="E22" s="158">
        <f>E13</f>
        <v>0</v>
      </c>
      <c r="F22" s="159">
        <f>F13</f>
        <v>1710.82</v>
      </c>
      <c r="G22" s="160">
        <f>G13</f>
        <v>-1710.82</v>
      </c>
      <c r="H22" s="161">
        <f>SUM(H12:H20)</f>
        <v>186540000</v>
      </c>
      <c r="I22" s="161">
        <f t="shared" ref="I22:S22" si="12">SUM(I12:I21)</f>
        <v>187446320</v>
      </c>
      <c r="J22" s="162">
        <f t="shared" si="12"/>
        <v>906320</v>
      </c>
      <c r="K22" s="161">
        <f t="shared" si="12"/>
        <v>189115100</v>
      </c>
      <c r="L22" s="161">
        <f t="shared" si="12"/>
        <v>2758622.5</v>
      </c>
      <c r="M22" s="163">
        <f t="shared" si="12"/>
        <v>191873722.5</v>
      </c>
      <c r="N22" s="163">
        <f t="shared" si="12"/>
        <v>0</v>
      </c>
      <c r="O22" s="164">
        <f t="shared" si="12"/>
        <v>-2050180</v>
      </c>
      <c r="P22" s="163">
        <f t="shared" si="12"/>
        <v>189823542.5</v>
      </c>
      <c r="Q22" s="165">
        <f t="shared" si="12"/>
        <v>175700240.63000003</v>
      </c>
      <c r="R22" s="163">
        <f t="shared" si="12"/>
        <v>11491984.504000016</v>
      </c>
      <c r="S22" s="163">
        <f t="shared" si="12"/>
        <v>187192225.134</v>
      </c>
      <c r="T22" s="166">
        <f t="shared" si="2"/>
        <v>0.93860864415830547</v>
      </c>
      <c r="U22" s="167">
        <f>SUM(U12:U21)</f>
        <v>-254094.86599999573</v>
      </c>
      <c r="V22" s="167">
        <f>SUM(V12:V21)</f>
        <v>2631317.3659999957</v>
      </c>
      <c r="W22" s="168">
        <f t="shared" si="8"/>
        <v>1.3861912655012198E-2</v>
      </c>
      <c r="X22" s="169"/>
      <c r="Y22" s="155"/>
      <c r="Z22" s="170">
        <f>SUM(Z12:Z21)</f>
        <v>152186075.16</v>
      </c>
      <c r="AA22" s="171">
        <f>SUM(AA12:AA21)</f>
        <v>-154236255.16</v>
      </c>
      <c r="AB22" s="168">
        <f>IF(ISERR(AA22/Z22),"-",AA22/Z22)</f>
        <v>-1.0134715347501049</v>
      </c>
      <c r="AC22" s="155"/>
      <c r="AD22" s="170">
        <f>SUM(AD12:AD21)</f>
        <v>148090406.47</v>
      </c>
      <c r="AE22" s="171">
        <f>SUM(AE12:AE21)</f>
        <v>38101818.66399999</v>
      </c>
      <c r="AF22" s="168">
        <f>IF(ISERR(AE22/AD22),"-",AE22/AD22)</f>
        <v>0.2572875554347176</v>
      </c>
      <c r="AH22" s="170">
        <f>SUM(AH12:AH21)</f>
        <v>143868257.75999999</v>
      </c>
      <c r="AI22" s="171">
        <f>SUM(AI12:AI21)</f>
        <v>42323967.374000013</v>
      </c>
      <c r="AJ22" s="168">
        <f t="shared" si="10"/>
        <v>0.29418558362334907</v>
      </c>
    </row>
    <row r="23" spans="1:36" ht="13.35" customHeight="1" x14ac:dyDescent="0.3">
      <c r="A23" s="1"/>
      <c r="B23" s="10"/>
      <c r="E23" s="172"/>
      <c r="F23" s="173"/>
      <c r="G23" s="174"/>
      <c r="H23" s="172"/>
      <c r="I23" s="175"/>
      <c r="J23" s="175"/>
      <c r="K23" s="175"/>
      <c r="L23" s="175"/>
      <c r="M23" s="175"/>
      <c r="N23" s="175"/>
      <c r="O23" s="175"/>
      <c r="P23" s="175"/>
      <c r="Q23" s="176"/>
      <c r="R23" s="175"/>
      <c r="S23" s="175"/>
      <c r="T23" s="175"/>
      <c r="U23" s="177"/>
      <c r="V23" s="178"/>
      <c r="W23" s="179"/>
      <c r="X23" s="180"/>
      <c r="Y23" s="181"/>
      <c r="Z23" s="96"/>
      <c r="AA23" s="101"/>
      <c r="AB23" s="102"/>
      <c r="AC23" s="181"/>
      <c r="AD23" s="96"/>
      <c r="AE23" s="101"/>
      <c r="AF23" s="102"/>
      <c r="AH23" s="96"/>
      <c r="AI23" s="101"/>
      <c r="AJ23" s="102"/>
    </row>
    <row r="24" spans="1:36" ht="13.35" customHeight="1" x14ac:dyDescent="0.3">
      <c r="A24" s="10"/>
      <c r="B24" s="10"/>
      <c r="E24" s="172"/>
      <c r="F24" s="173"/>
      <c r="G24" s="174"/>
      <c r="H24" s="172"/>
      <c r="I24" s="182"/>
      <c r="J24" s="182"/>
      <c r="K24" s="183"/>
      <c r="L24" s="183"/>
      <c r="M24" s="184"/>
      <c r="N24" s="184"/>
      <c r="O24" s="184"/>
      <c r="P24" s="184"/>
      <c r="Q24" s="185"/>
      <c r="R24" s="184"/>
      <c r="S24" s="184"/>
      <c r="T24" s="184"/>
      <c r="U24" s="186"/>
      <c r="V24" s="187"/>
      <c r="W24" s="188"/>
      <c r="X24" s="154"/>
      <c r="Y24" s="155"/>
      <c r="Z24" s="96"/>
      <c r="AA24" s="101"/>
      <c r="AB24" s="102"/>
      <c r="AC24" s="155"/>
      <c r="AD24" s="96"/>
      <c r="AE24" s="101"/>
      <c r="AF24" s="102"/>
      <c r="AH24" s="96"/>
      <c r="AI24" s="101"/>
      <c r="AJ24" s="102"/>
    </row>
    <row r="25" spans="1:36" ht="13.35" hidden="1" customHeight="1" outlineLevel="1" x14ac:dyDescent="0.3">
      <c r="A25" s="103" t="s">
        <v>67</v>
      </c>
      <c r="B25" s="10"/>
      <c r="E25" s="172"/>
      <c r="F25" s="173"/>
      <c r="G25" s="174"/>
      <c r="H25" s="172"/>
      <c r="I25" s="152"/>
      <c r="J25" s="152"/>
      <c r="K25" s="189"/>
      <c r="L25" s="189"/>
      <c r="Q25" s="96"/>
      <c r="U25" s="100"/>
      <c r="V25" s="187"/>
      <c r="W25" s="188"/>
      <c r="X25" s="154"/>
      <c r="Y25" s="155"/>
      <c r="Z25" s="96"/>
      <c r="AA25" s="101"/>
      <c r="AB25" s="102"/>
      <c r="AC25" s="155"/>
      <c r="AD25" s="96"/>
      <c r="AE25" s="101"/>
      <c r="AF25" s="102"/>
      <c r="AH25" s="96"/>
      <c r="AI25" s="101"/>
      <c r="AJ25" s="102"/>
    </row>
    <row r="26" spans="1:36" s="141" customFormat="1" ht="13.35" hidden="1" customHeight="1" outlineLevel="1" x14ac:dyDescent="0.25">
      <c r="A26" s="104" t="s">
        <v>68</v>
      </c>
      <c r="B26" s="104" t="s">
        <v>69</v>
      </c>
      <c r="E26" s="142"/>
      <c r="F26" s="143"/>
      <c r="G26" s="144"/>
      <c r="H26" s="130"/>
      <c r="I26" s="131">
        <v>200000</v>
      </c>
      <c r="J26" s="132">
        <f t="shared" ref="J26:J35" si="13">I26-H26</f>
        <v>200000</v>
      </c>
      <c r="K26" s="190"/>
      <c r="L26" s="190">
        <f>75000+161693.51+255738+20000+89000+16200+96445+60224.05+54320.49</f>
        <v>828621.05</v>
      </c>
      <c r="M26" s="122">
        <f t="shared" ref="M26:M35" si="14">K26+L26</f>
        <v>828621.05</v>
      </c>
      <c r="N26" s="122"/>
      <c r="O26" s="122">
        <v>200000</v>
      </c>
      <c r="P26" s="122">
        <f t="shared" ref="P26:P35" si="15">M26+N26+O26</f>
        <v>1028621.05</v>
      </c>
      <c r="Q26" s="133">
        <f>734390.58+55477.89+21027.06+961.03</f>
        <v>811856.56</v>
      </c>
      <c r="R26" s="145">
        <f>P26-Q26</f>
        <v>216764.49</v>
      </c>
      <c r="S26" s="131">
        <f t="shared" ref="S26:S27" si="16">SUM(Q26:R26)</f>
        <v>1028621.05</v>
      </c>
      <c r="T26" s="113">
        <f t="shared" ref="T26:T27" si="17">IF(ISERR(Q26/S26),"-",Q26/S26)</f>
        <v>0.78926691224139345</v>
      </c>
      <c r="U26" s="191">
        <f t="shared" ref="U26:U35" si="18">S26-I26</f>
        <v>828621.05</v>
      </c>
      <c r="V26" s="192">
        <f t="shared" ref="V26:V35" si="19">P26-S26</f>
        <v>0</v>
      </c>
      <c r="W26" s="115">
        <f t="shared" ref="W26:W27" si="20">IF(ISERR(V26/P26),"-",V26/P26)</f>
        <v>0</v>
      </c>
      <c r="X26" s="193"/>
      <c r="Y26" s="194"/>
      <c r="Z26" s="118">
        <f>'[1]2021-22'!C112+SUM('[1]2021-22'!C114:C131)+'[1]2021-22'!C134+SUM('[1]2021-22'!C136:C146)</f>
        <v>722513.42</v>
      </c>
      <c r="AA26" s="195">
        <f>O26-Z26</f>
        <v>-522513.42000000004</v>
      </c>
      <c r="AB26" s="115">
        <f>IF(ISERR(AA26/Z26),"-",AA26/Z26)</f>
        <v>-0.72318853260884763</v>
      </c>
      <c r="AC26" s="194"/>
      <c r="AD26" s="118">
        <v>404900.30000000005</v>
      </c>
      <c r="AE26" s="195">
        <f>S26-AD26</f>
        <v>623720.75</v>
      </c>
      <c r="AF26" s="115">
        <f>IF(ISERR(AE26/AD26),"-",AE26/AD26)</f>
        <v>1.5404304467050283</v>
      </c>
      <c r="AH26" s="118">
        <v>441765.51</v>
      </c>
      <c r="AI26" s="195">
        <f>S26-AH26</f>
        <v>586855.54</v>
      </c>
      <c r="AJ26" s="115">
        <f>IF(ISERR(AI26/AH26),"-",AI26/AH26)</f>
        <v>1.3284322264089834</v>
      </c>
    </row>
    <row r="27" spans="1:36" s="141" customFormat="1" ht="13.35" hidden="1" customHeight="1" outlineLevel="1" x14ac:dyDescent="0.25">
      <c r="A27" s="104" t="s">
        <v>70</v>
      </c>
      <c r="B27" s="104" t="s">
        <v>71</v>
      </c>
      <c r="D27" s="105" t="s">
        <v>49</v>
      </c>
      <c r="E27" s="106"/>
      <c r="F27" s="107">
        <f>612+3.28</f>
        <v>615.28</v>
      </c>
      <c r="G27" s="108">
        <f>E27-F27</f>
        <v>-615.28</v>
      </c>
      <c r="H27" s="130">
        <f>25491700+94500</f>
        <v>25586200</v>
      </c>
      <c r="I27" s="131">
        <f>25586200+1063100</f>
        <v>26649300</v>
      </c>
      <c r="J27" s="132">
        <f t="shared" si="13"/>
        <v>1063100</v>
      </c>
      <c r="K27" s="190">
        <v>25586200</v>
      </c>
      <c r="L27" s="190"/>
      <c r="M27" s="122">
        <f t="shared" si="14"/>
        <v>25586200</v>
      </c>
      <c r="N27" s="122"/>
      <c r="O27" s="122">
        <v>1063100</v>
      </c>
      <c r="P27" s="122">
        <f t="shared" si="15"/>
        <v>26649300</v>
      </c>
      <c r="Q27" s="133">
        <f>354+23947950.73</f>
        <v>23948304.73</v>
      </c>
      <c r="R27" s="145">
        <f>'[1]Salary Projections'!E10-'[1]Operating Results'!Q27</f>
        <v>2314540.944000002</v>
      </c>
      <c r="S27" s="131">
        <f t="shared" si="16"/>
        <v>26262845.674000002</v>
      </c>
      <c r="T27" s="113">
        <f t="shared" si="17"/>
        <v>0.91187013879872969</v>
      </c>
      <c r="U27" s="191">
        <f t="shared" si="18"/>
        <v>-386454.32599999756</v>
      </c>
      <c r="V27" s="192">
        <f t="shared" si="19"/>
        <v>386454.32599999756</v>
      </c>
      <c r="W27" s="115">
        <f t="shared" si="20"/>
        <v>1.450148131470611E-2</v>
      </c>
      <c r="Y27" s="196"/>
      <c r="Z27" s="130">
        <f>'[1]2021-22'!C323</f>
        <v>26633006.329999998</v>
      </c>
      <c r="AA27" s="140">
        <f>O27-Z27</f>
        <v>-25569906.329999998</v>
      </c>
      <c r="AB27" s="115">
        <f>IF(ISERR(AA27/Z27),"-",AA27/Z27)</f>
        <v>-0.96008336472317435</v>
      </c>
      <c r="AC27" s="196"/>
      <c r="AD27" s="130">
        <v>17360452.969999999</v>
      </c>
      <c r="AE27" s="140">
        <f>S27-AD27</f>
        <v>8902392.7040000036</v>
      </c>
      <c r="AF27" s="115">
        <f>IF(ISERR(AE27/AD27),"-",AE27/AD27)</f>
        <v>0.51279725934478337</v>
      </c>
      <c r="AH27" s="130">
        <v>15896579.539999999</v>
      </c>
      <c r="AI27" s="140">
        <f>S27-AH27</f>
        <v>10366266.134000003</v>
      </c>
      <c r="AJ27" s="115">
        <f t="shared" ref="AJ27" si="21">IF(ISERR(AI27/AH27),"-",AI27/AH27)</f>
        <v>0.65210670684946626</v>
      </c>
    </row>
    <row r="28" spans="1:36" s="141" customFormat="1" ht="13.35" hidden="1" customHeight="1" outlineLevel="1" x14ac:dyDescent="0.25">
      <c r="A28" s="104"/>
      <c r="B28" s="104"/>
      <c r="D28" s="105" t="s">
        <v>50</v>
      </c>
      <c r="E28" s="106"/>
      <c r="F28" s="107">
        <f>F27</f>
        <v>615.28</v>
      </c>
      <c r="G28" s="108">
        <f>E28-F28</f>
        <v>-615.28</v>
      </c>
      <c r="H28" s="130"/>
      <c r="I28" s="131"/>
      <c r="J28" s="132"/>
      <c r="K28" s="190"/>
      <c r="L28" s="190"/>
      <c r="M28" s="122">
        <f t="shared" si="14"/>
        <v>0</v>
      </c>
      <c r="N28" s="122"/>
      <c r="O28" s="122"/>
      <c r="P28" s="122"/>
      <c r="Q28" s="133"/>
      <c r="R28" s="145"/>
      <c r="S28" s="131"/>
      <c r="T28" s="113"/>
      <c r="U28" s="191"/>
      <c r="V28" s="192"/>
      <c r="W28" s="115"/>
      <c r="Y28" s="196"/>
      <c r="Z28" s="130"/>
      <c r="AA28" s="140"/>
      <c r="AB28" s="115"/>
      <c r="AC28" s="196"/>
      <c r="AD28" s="130"/>
      <c r="AE28" s="140"/>
      <c r="AF28" s="115"/>
      <c r="AH28" s="130"/>
      <c r="AI28" s="140"/>
      <c r="AJ28" s="115"/>
    </row>
    <row r="29" spans="1:36" s="141" customFormat="1" ht="13.35" hidden="1" customHeight="1" outlineLevel="1" x14ac:dyDescent="0.25">
      <c r="A29" s="104" t="s">
        <v>72</v>
      </c>
      <c r="B29" s="104" t="s">
        <v>73</v>
      </c>
      <c r="D29" s="105"/>
      <c r="E29" s="197"/>
      <c r="F29" s="107"/>
      <c r="G29" s="108"/>
      <c r="H29" s="130"/>
      <c r="I29" s="131"/>
      <c r="J29" s="132">
        <f t="shared" ref="J29" si="22">I29-H29</f>
        <v>0</v>
      </c>
      <c r="K29" s="190"/>
      <c r="L29" s="190"/>
      <c r="M29" s="122">
        <f t="shared" si="14"/>
        <v>0</v>
      </c>
      <c r="N29" s="122"/>
      <c r="O29" s="122"/>
      <c r="P29" s="122">
        <f t="shared" si="15"/>
        <v>0</v>
      </c>
      <c r="Q29" s="133">
        <v>1261775.6100000001</v>
      </c>
      <c r="R29" s="145">
        <f>'[1]Salary Projections'!E17-'[1]Operating Results'!Q29</f>
        <v>470539.80199999991</v>
      </c>
      <c r="S29" s="131">
        <f t="shared" ref="S29:S35" si="23">SUM(Q29:R29)</f>
        <v>1732315.412</v>
      </c>
      <c r="T29" s="113">
        <f t="shared" ref="T29:T35" si="24">IF(ISERR(Q29/S29),"-",Q29/S29)</f>
        <v>0.72837521461709431</v>
      </c>
      <c r="U29" s="191">
        <f t="shared" si="18"/>
        <v>1732315.412</v>
      </c>
      <c r="V29" s="192">
        <f t="shared" si="19"/>
        <v>-1732315.412</v>
      </c>
      <c r="W29" s="115" t="str">
        <f t="shared" ref="W29:W33" si="25">IF(ISERR(V29/P29),"-",V29/P29)</f>
        <v>-</v>
      </c>
      <c r="X29" s="146"/>
      <c r="Y29" s="147"/>
      <c r="Z29" s="130">
        <f>'[1]2021-22'!C324</f>
        <v>265505.84999999998</v>
      </c>
      <c r="AA29" s="140">
        <f>O29-Z29</f>
        <v>-265505.84999999998</v>
      </c>
      <c r="AB29" s="115">
        <f>IF(ISERR(AA29/Z29),"-",AA29/Z29)</f>
        <v>-1</v>
      </c>
      <c r="AC29" s="147"/>
      <c r="AD29" s="130">
        <v>209529.43</v>
      </c>
      <c r="AE29" s="140">
        <f>S29-AD29</f>
        <v>1522785.9820000001</v>
      </c>
      <c r="AF29" s="115">
        <f>IF(ISERR(AE29/AD29),"-",AE29/AD29)</f>
        <v>7.2676472321811794</v>
      </c>
      <c r="AH29" s="130">
        <v>195640.69</v>
      </c>
      <c r="AI29" s="140">
        <f>S29-AH29</f>
        <v>1536674.7220000001</v>
      </c>
      <c r="AJ29" s="115">
        <f t="shared" ref="AJ29:AJ33" si="26">IF(ISERR(AI29/AH29),"-",AI29/AH29)</f>
        <v>7.8545762744958632</v>
      </c>
    </row>
    <row r="30" spans="1:36" s="141" customFormat="1" ht="13.35" hidden="1" customHeight="1" outlineLevel="1" x14ac:dyDescent="0.25">
      <c r="A30" s="104" t="s">
        <v>74</v>
      </c>
      <c r="B30" s="104" t="s">
        <v>75</v>
      </c>
      <c r="E30" s="142"/>
      <c r="F30" s="143"/>
      <c r="G30" s="144"/>
      <c r="H30" s="130">
        <v>1404600</v>
      </c>
      <c r="I30" s="131">
        <v>1404600</v>
      </c>
      <c r="J30" s="132">
        <f t="shared" si="13"/>
        <v>0</v>
      </c>
      <c r="K30" s="190">
        <v>1404500</v>
      </c>
      <c r="L30" s="190"/>
      <c r="M30" s="122">
        <f t="shared" si="14"/>
        <v>1404500</v>
      </c>
      <c r="N30" s="122"/>
      <c r="O30" s="122"/>
      <c r="P30" s="122">
        <f t="shared" si="15"/>
        <v>1404500</v>
      </c>
      <c r="Q30" s="133">
        <v>4994964.5</v>
      </c>
      <c r="R30" s="145">
        <f>'[1]Salary Projections'!E24-'[1]Operating Results'!Q30</f>
        <v>430399.02199999988</v>
      </c>
      <c r="S30" s="131">
        <f t="shared" si="23"/>
        <v>5425363.5219999999</v>
      </c>
      <c r="T30" s="113">
        <f t="shared" si="24"/>
        <v>0.9206690906047641</v>
      </c>
      <c r="U30" s="191">
        <f t="shared" si="18"/>
        <v>4020763.5219999999</v>
      </c>
      <c r="V30" s="192">
        <f t="shared" si="19"/>
        <v>-4020863.5219999999</v>
      </c>
      <c r="W30" s="115">
        <f t="shared" si="25"/>
        <v>-2.8628433762904946</v>
      </c>
      <c r="X30" s="146"/>
      <c r="Y30" s="147"/>
      <c r="Z30" s="130">
        <f>'[1]2021-22'!C325</f>
        <v>3542054.38</v>
      </c>
      <c r="AA30" s="140">
        <f>O30-Z30</f>
        <v>-3542054.38</v>
      </c>
      <c r="AB30" s="115">
        <f>IF(ISERR(AA30/Z30),"-",AA30/Z30)</f>
        <v>-1</v>
      </c>
      <c r="AC30" s="147"/>
      <c r="AD30" s="130">
        <v>2439975.67</v>
      </c>
      <c r="AE30" s="140">
        <f>S30-AD30</f>
        <v>2985387.852</v>
      </c>
      <c r="AF30" s="115">
        <f>IF(ISERR(AE30/AD30),"-",AE30/AD30)</f>
        <v>1.2235318116922043</v>
      </c>
      <c r="AH30" s="130">
        <v>2239291.2000000002</v>
      </c>
      <c r="AI30" s="140">
        <f>S30-AH30</f>
        <v>3186072.3219999997</v>
      </c>
      <c r="AJ30" s="115">
        <f t="shared" si="26"/>
        <v>1.4228039309938785</v>
      </c>
    </row>
    <row r="31" spans="1:36" s="141" customFormat="1" ht="13.35" hidden="1" customHeight="1" outlineLevel="1" x14ac:dyDescent="0.25">
      <c r="A31" s="104" t="s">
        <v>76</v>
      </c>
      <c r="B31" s="104" t="s">
        <v>77</v>
      </c>
      <c r="E31" s="142"/>
      <c r="F31" s="143"/>
      <c r="G31" s="144"/>
      <c r="H31" s="130"/>
      <c r="I31" s="131"/>
      <c r="J31" s="132">
        <f t="shared" si="13"/>
        <v>0</v>
      </c>
      <c r="K31" s="190"/>
      <c r="L31" s="190"/>
      <c r="M31" s="122">
        <f t="shared" si="14"/>
        <v>0</v>
      </c>
      <c r="N31" s="122"/>
      <c r="O31" s="122"/>
      <c r="P31" s="122">
        <f t="shared" si="15"/>
        <v>0</v>
      </c>
      <c r="Q31" s="133">
        <v>4046.37</v>
      </c>
      <c r="R31" s="145">
        <f>P31-Q31</f>
        <v>-4046.37</v>
      </c>
      <c r="S31" s="131">
        <f t="shared" si="23"/>
        <v>0</v>
      </c>
      <c r="T31" s="113" t="str">
        <f t="shared" si="24"/>
        <v>-</v>
      </c>
      <c r="U31" s="191">
        <f t="shared" si="18"/>
        <v>0</v>
      </c>
      <c r="V31" s="192">
        <f t="shared" si="19"/>
        <v>0</v>
      </c>
      <c r="W31" s="115" t="str">
        <f t="shared" si="25"/>
        <v>-</v>
      </c>
      <c r="X31" s="146"/>
      <c r="Y31" s="147"/>
      <c r="Z31" s="130">
        <f>'[1]2021-22'!C379</f>
        <v>301.04000000000002</v>
      </c>
      <c r="AA31" s="140">
        <f>O31-Z31</f>
        <v>-301.04000000000002</v>
      </c>
      <c r="AB31" s="115">
        <f>IF(ISERR(AA31/Z31),"-",AA31/Z31)</f>
        <v>-1</v>
      </c>
      <c r="AC31" s="147"/>
      <c r="AD31" s="130">
        <v>0</v>
      </c>
      <c r="AE31" s="140">
        <f>S31-AD31</f>
        <v>0</v>
      </c>
      <c r="AF31" s="115" t="str">
        <f>IF(ISERR(AE31/AD31),"-",AE31/AD31)</f>
        <v>-</v>
      </c>
      <c r="AH31" s="130">
        <v>0</v>
      </c>
      <c r="AI31" s="140">
        <f>S31-AH31</f>
        <v>0</v>
      </c>
      <c r="AJ31" s="115" t="str">
        <f t="shared" si="26"/>
        <v>-</v>
      </c>
    </row>
    <row r="32" spans="1:36" s="141" customFormat="1" ht="13.35" hidden="1" customHeight="1" outlineLevel="1" x14ac:dyDescent="0.25">
      <c r="A32" s="104" t="s">
        <v>78</v>
      </c>
      <c r="B32" s="104" t="s">
        <v>79</v>
      </c>
      <c r="E32" s="142"/>
      <c r="F32" s="143"/>
      <c r="G32" s="144"/>
      <c r="H32" s="130"/>
      <c r="I32" s="131"/>
      <c r="J32" s="132">
        <f t="shared" si="13"/>
        <v>0</v>
      </c>
      <c r="K32" s="190"/>
      <c r="L32" s="190"/>
      <c r="M32" s="122">
        <f t="shared" si="14"/>
        <v>0</v>
      </c>
      <c r="N32" s="122"/>
      <c r="O32" s="122"/>
      <c r="P32" s="122">
        <f t="shared" si="15"/>
        <v>0</v>
      </c>
      <c r="Q32" s="133">
        <v>9404.49</v>
      </c>
      <c r="R32" s="145">
        <f>P32-Q32</f>
        <v>-9404.49</v>
      </c>
      <c r="S32" s="131">
        <f t="shared" si="23"/>
        <v>0</v>
      </c>
      <c r="T32" s="113" t="str">
        <f t="shared" si="24"/>
        <v>-</v>
      </c>
      <c r="U32" s="191">
        <f t="shared" si="18"/>
        <v>0</v>
      </c>
      <c r="V32" s="192">
        <f>P32-S32</f>
        <v>0</v>
      </c>
      <c r="W32" s="115" t="str">
        <f t="shared" si="25"/>
        <v>-</v>
      </c>
      <c r="X32" s="146"/>
      <c r="Y32" s="147"/>
      <c r="Z32" s="130">
        <f>'[1]2021-22'!C535</f>
        <v>28565.73</v>
      </c>
      <c r="AA32" s="140">
        <f>O32-Z32</f>
        <v>-28565.73</v>
      </c>
      <c r="AB32" s="115">
        <f>IF(ISERR(AA32/Z32),"-",AA32/Z32)</f>
        <v>-1</v>
      </c>
      <c r="AC32" s="147"/>
      <c r="AD32" s="130">
        <v>142.68</v>
      </c>
      <c r="AE32" s="140">
        <f>S32-AD32</f>
        <v>-142.68</v>
      </c>
      <c r="AF32" s="115">
        <f>IF(ISERR(AE32/AD32),"-",AE32/AD32)</f>
        <v>-1</v>
      </c>
      <c r="AH32" s="130">
        <v>123243.44</v>
      </c>
      <c r="AI32" s="140">
        <f>S32-AH32</f>
        <v>-123243.44</v>
      </c>
      <c r="AJ32" s="115">
        <f t="shared" si="26"/>
        <v>-1</v>
      </c>
    </row>
    <row r="33" spans="1:36" ht="13.35" hidden="1" customHeight="1" outlineLevel="1" x14ac:dyDescent="0.3">
      <c r="A33" s="51" t="s">
        <v>80</v>
      </c>
      <c r="B33" s="11" t="s">
        <v>81</v>
      </c>
      <c r="D33" s="105" t="s">
        <v>49</v>
      </c>
      <c r="E33" s="106"/>
      <c r="F33" s="149">
        <f>31+16</f>
        <v>47</v>
      </c>
      <c r="G33" s="108">
        <f>E33-F33</f>
        <v>-47</v>
      </c>
      <c r="H33" s="130">
        <f>1063100+2405500</f>
        <v>3468600</v>
      </c>
      <c r="I33" s="131">
        <v>2405500</v>
      </c>
      <c r="J33" s="132">
        <f t="shared" si="13"/>
        <v>-1063100</v>
      </c>
      <c r="K33" s="152">
        <v>3468800</v>
      </c>
      <c r="L33" s="152"/>
      <c r="M33" s="122">
        <f t="shared" si="14"/>
        <v>3468800</v>
      </c>
      <c r="N33" s="122"/>
      <c r="O33" s="122">
        <v>-1063100</v>
      </c>
      <c r="P33" s="122">
        <f t="shared" si="15"/>
        <v>2405700</v>
      </c>
      <c r="Q33" s="153">
        <f>220421.55+1876047.33</f>
        <v>2096468.8800000001</v>
      </c>
      <c r="R33" s="152">
        <f>'[1]Salary Projections'!H10-'[1]Operating Results'!Q33</f>
        <v>273481.42600000021</v>
      </c>
      <c r="S33" s="131">
        <f t="shared" si="23"/>
        <v>2369950.3060000003</v>
      </c>
      <c r="T33" s="113">
        <f t="shared" si="24"/>
        <v>0.88460457364543565</v>
      </c>
      <c r="U33" s="191">
        <f t="shared" si="18"/>
        <v>-35549.693999999668</v>
      </c>
      <c r="V33" s="192">
        <f t="shared" si="19"/>
        <v>35749.693999999668</v>
      </c>
      <c r="W33" s="115">
        <f t="shared" si="25"/>
        <v>1.4860412353992464E-2</v>
      </c>
      <c r="X33" s="198"/>
      <c r="Y33" s="199"/>
      <c r="Z33" s="156">
        <f>'[1]2021-22'!C613</f>
        <v>162911.54</v>
      </c>
      <c r="AA33" s="200">
        <f>O33-Z33</f>
        <v>-1226011.54</v>
      </c>
      <c r="AB33" s="201">
        <f>IF(ISERR(AA33/Z33),"-",AA33/Z33)</f>
        <v>-7.5256273435264314</v>
      </c>
      <c r="AC33" s="199"/>
      <c r="AD33" s="156">
        <v>737708.44</v>
      </c>
      <c r="AE33" s="200">
        <f>S33-AD33</f>
        <v>1632241.8660000004</v>
      </c>
      <c r="AF33" s="201">
        <f>IF(ISERR(AE33/AD33),"-",AE33/AD33)</f>
        <v>2.2125839660991278</v>
      </c>
      <c r="AH33" s="156">
        <v>800311.68</v>
      </c>
      <c r="AI33" s="200">
        <f>S33-AH33</f>
        <v>1569638.6260000002</v>
      </c>
      <c r="AJ33" s="201">
        <f t="shared" si="26"/>
        <v>1.9612841661888529</v>
      </c>
    </row>
    <row r="34" spans="1:36" ht="13.35" hidden="1" customHeight="1" outlineLevel="1" x14ac:dyDescent="0.3">
      <c r="A34" s="51"/>
      <c r="D34" s="105" t="s">
        <v>50</v>
      </c>
      <c r="E34" s="106"/>
      <c r="F34" s="149">
        <f>F33</f>
        <v>47</v>
      </c>
      <c r="G34" s="108">
        <f>E34-F34</f>
        <v>-47</v>
      </c>
      <c r="H34" s="130"/>
      <c r="I34" s="131"/>
      <c r="J34" s="132"/>
      <c r="K34" s="152"/>
      <c r="L34" s="152"/>
      <c r="M34" s="122">
        <f t="shared" si="14"/>
        <v>0</v>
      </c>
      <c r="N34" s="122"/>
      <c r="O34" s="122"/>
      <c r="P34" s="122"/>
      <c r="Q34" s="153"/>
      <c r="R34" s="152"/>
      <c r="S34" s="131"/>
      <c r="T34" s="113"/>
      <c r="U34" s="191"/>
      <c r="V34" s="192"/>
      <c r="W34" s="115"/>
      <c r="X34" s="198"/>
      <c r="Y34" s="199"/>
      <c r="Z34" s="156"/>
      <c r="AA34" s="200"/>
      <c r="AB34" s="201"/>
      <c r="AC34" s="199"/>
      <c r="AD34" s="156"/>
      <c r="AE34" s="200"/>
      <c r="AF34" s="201"/>
      <c r="AH34" s="156"/>
      <c r="AI34" s="200"/>
      <c r="AJ34" s="201"/>
    </row>
    <row r="35" spans="1:36" ht="13.35" hidden="1" customHeight="1" outlineLevel="1" x14ac:dyDescent="0.3">
      <c r="A35" s="51" t="s">
        <v>82</v>
      </c>
      <c r="B35" s="11" t="s">
        <v>83</v>
      </c>
      <c r="D35" s="105"/>
      <c r="E35" s="148"/>
      <c r="F35" s="149"/>
      <c r="G35" s="202"/>
      <c r="H35" s="130"/>
      <c r="I35" s="131"/>
      <c r="J35" s="132">
        <f t="shared" si="13"/>
        <v>0</v>
      </c>
      <c r="K35" s="152"/>
      <c r="L35" s="152"/>
      <c r="M35" s="122">
        <f t="shared" si="14"/>
        <v>0</v>
      </c>
      <c r="N35" s="122"/>
      <c r="O35" s="122"/>
      <c r="P35" s="122">
        <f t="shared" si="15"/>
        <v>0</v>
      </c>
      <c r="Q35" s="153">
        <f>37543.39+3487.13</f>
        <v>41030.519999999997</v>
      </c>
      <c r="R35" s="152">
        <f>'[1]Salary Projections'!H17+'[1]Salary Projections'!H24-'[1]Operating Results'!Q35</f>
        <v>2.0000000004074536E-2</v>
      </c>
      <c r="S35" s="131">
        <f t="shared" si="23"/>
        <v>41030.54</v>
      </c>
      <c r="T35" s="113">
        <f t="shared" si="24"/>
        <v>0.99999951255820652</v>
      </c>
      <c r="U35" s="191">
        <f t="shared" si="18"/>
        <v>41030.54</v>
      </c>
      <c r="V35" s="192">
        <f t="shared" si="19"/>
        <v>-41030.54</v>
      </c>
      <c r="W35" s="115" t="str">
        <f>IF(ISERR(V35/P35),"-",V35/P35)</f>
        <v>-</v>
      </c>
      <c r="X35" s="198"/>
      <c r="Y35" s="199"/>
      <c r="Z35" s="156">
        <f>'[1]2021-22'!C614</f>
        <v>100350.68</v>
      </c>
      <c r="AA35" s="200">
        <f>O35-Z35</f>
        <v>-100350.68</v>
      </c>
      <c r="AB35" s="201">
        <f>IF(ISERR(AA35/Z35),"-",AA35/Z35)</f>
        <v>-1</v>
      </c>
      <c r="AC35" s="199"/>
      <c r="AD35" s="156">
        <v>191894.57</v>
      </c>
      <c r="AE35" s="200">
        <f>S35-AD35</f>
        <v>-150864.03</v>
      </c>
      <c r="AF35" s="201">
        <f>IF(ISERR(AE35/AD35),"-",AE35/AD35)</f>
        <v>-0.78618186017457392</v>
      </c>
      <c r="AH35" s="156">
        <v>113622.72</v>
      </c>
      <c r="AI35" s="200">
        <f>S35-AH35</f>
        <v>-72592.179999999993</v>
      </c>
      <c r="AJ35" s="201">
        <f t="shared" ref="AJ35:AJ36" si="27">IF(ISERR(AI35/AH35),"-",AI35/AH35)</f>
        <v>-0.63888789143579727</v>
      </c>
    </row>
    <row r="36" spans="1:36" ht="13.35" customHeight="1" collapsed="1" x14ac:dyDescent="0.3">
      <c r="A36" s="1" t="s">
        <v>84</v>
      </c>
      <c r="B36" s="10"/>
      <c r="E36" s="203">
        <f>E28+E34</f>
        <v>0</v>
      </c>
      <c r="F36" s="159">
        <f>F28+F34</f>
        <v>662.28</v>
      </c>
      <c r="G36" s="160">
        <f>G28+G34</f>
        <v>-662.28</v>
      </c>
      <c r="H36" s="163">
        <f t="shared" ref="H36:S36" si="28">SUM(H26:H35)</f>
        <v>30459400</v>
      </c>
      <c r="I36" s="163">
        <f t="shared" si="28"/>
        <v>30659400</v>
      </c>
      <c r="J36" s="204">
        <f t="shared" si="28"/>
        <v>200000</v>
      </c>
      <c r="K36" s="163">
        <f t="shared" si="28"/>
        <v>30459500</v>
      </c>
      <c r="L36" s="163">
        <f t="shared" si="28"/>
        <v>828621.05</v>
      </c>
      <c r="M36" s="163">
        <f t="shared" si="28"/>
        <v>31288121.050000001</v>
      </c>
      <c r="N36" s="163">
        <f t="shared" si="28"/>
        <v>0</v>
      </c>
      <c r="O36" s="163">
        <f t="shared" si="28"/>
        <v>200000</v>
      </c>
      <c r="P36" s="163">
        <f t="shared" si="28"/>
        <v>31488121.050000001</v>
      </c>
      <c r="Q36" s="165">
        <f t="shared" si="28"/>
        <v>33167851.659999996</v>
      </c>
      <c r="R36" s="163">
        <f t="shared" si="28"/>
        <v>3692274.8440000019</v>
      </c>
      <c r="S36" s="163">
        <f t="shared" si="28"/>
        <v>36860126.504000008</v>
      </c>
      <c r="T36" s="166">
        <f>IF(ISERR(Q36/S36),"-",Q36/S36)</f>
        <v>0.89983010927541629</v>
      </c>
      <c r="U36" s="205">
        <f>SUM(U26:U35)</f>
        <v>6200726.5040000034</v>
      </c>
      <c r="V36" s="167">
        <f>SUM(V26:V35)</f>
        <v>-5372005.4540000027</v>
      </c>
      <c r="W36" s="168">
        <f>IF(ISERR(V36/P36),"-",V36/P36)</f>
        <v>-0.17060419214820069</v>
      </c>
      <c r="X36" s="169"/>
      <c r="Y36" s="155"/>
      <c r="Z36" s="170">
        <f>SUM(Z26:Z35)</f>
        <v>31455208.969999999</v>
      </c>
      <c r="AA36" s="206">
        <f>SUM(AA26:AA35)</f>
        <v>-31255208.969999999</v>
      </c>
      <c r="AB36" s="168">
        <f>IF(ISERR(AA36/Z36),"-",AA36/Z36)</f>
        <v>-0.99364175262066301</v>
      </c>
      <c r="AC36" s="155"/>
      <c r="AD36" s="170">
        <f>SUM(AD26:AD35)</f>
        <v>21344604.059999999</v>
      </c>
      <c r="AE36" s="206">
        <f>SUM(AE26:AE35)</f>
        <v>15515522.444000006</v>
      </c>
      <c r="AF36" s="168">
        <f>IF(ISERR(AE36/AD36),"-",AE36/AD36)</f>
        <v>0.72690607895024162</v>
      </c>
      <c r="AH36" s="170">
        <v>20111720.959999997</v>
      </c>
      <c r="AI36" s="206">
        <f>SUM(AI26:AI35)</f>
        <v>17049671.724000003</v>
      </c>
      <c r="AJ36" s="168">
        <f t="shared" si="27"/>
        <v>0.8477480250402204</v>
      </c>
    </row>
    <row r="37" spans="1:36" ht="13.35" customHeight="1" x14ac:dyDescent="0.3">
      <c r="A37" s="10"/>
      <c r="B37" s="10"/>
      <c r="E37" s="172"/>
      <c r="F37" s="173"/>
      <c r="G37" s="174"/>
      <c r="H37" s="172"/>
      <c r="Q37" s="96"/>
      <c r="U37" s="100"/>
      <c r="V37" s="187"/>
      <c r="W37" s="188"/>
      <c r="X37" s="154"/>
      <c r="Y37" s="155"/>
      <c r="Z37" s="96"/>
      <c r="AA37" s="101"/>
      <c r="AB37" s="102"/>
      <c r="AC37" s="155"/>
      <c r="AD37" s="96"/>
      <c r="AE37" s="101"/>
      <c r="AF37" s="102"/>
      <c r="AH37" s="96"/>
      <c r="AI37" s="101"/>
      <c r="AJ37" s="102"/>
    </row>
    <row r="38" spans="1:36" ht="13.35" customHeight="1" x14ac:dyDescent="0.3">
      <c r="A38" s="1"/>
      <c r="B38" s="10"/>
      <c r="E38" s="172"/>
      <c r="F38" s="173"/>
      <c r="G38" s="174"/>
      <c r="H38" s="172"/>
      <c r="I38" s="152"/>
      <c r="J38" s="152"/>
      <c r="K38" s="152"/>
      <c r="L38" s="152"/>
      <c r="M38" s="152"/>
      <c r="N38" s="152"/>
      <c r="O38" s="152"/>
      <c r="P38" s="152"/>
      <c r="Q38" s="153"/>
      <c r="R38" s="152"/>
      <c r="S38" s="152"/>
      <c r="T38" s="113"/>
      <c r="U38" s="207"/>
      <c r="V38" s="208"/>
      <c r="W38" s="179"/>
      <c r="X38" s="180"/>
      <c r="Y38" s="181"/>
      <c r="Z38" s="96"/>
      <c r="AA38" s="101"/>
      <c r="AB38" s="102"/>
      <c r="AC38" s="181"/>
      <c r="AD38" s="96"/>
      <c r="AE38" s="101"/>
      <c r="AF38" s="102"/>
      <c r="AH38" s="96"/>
      <c r="AI38" s="101"/>
      <c r="AJ38" s="102"/>
    </row>
    <row r="39" spans="1:36" ht="13.35" hidden="1" customHeight="1" outlineLevel="1" x14ac:dyDescent="0.3">
      <c r="A39" s="103" t="s">
        <v>85</v>
      </c>
      <c r="B39" s="10"/>
      <c r="E39" s="172"/>
      <c r="F39" s="173"/>
      <c r="G39" s="174"/>
      <c r="H39" s="172"/>
      <c r="I39" s="152"/>
      <c r="J39" s="152"/>
      <c r="K39" s="152"/>
      <c r="L39" s="152"/>
      <c r="M39" s="152"/>
      <c r="N39" s="152"/>
      <c r="O39" s="152"/>
      <c r="P39" s="152"/>
      <c r="Q39" s="153"/>
      <c r="R39" s="152"/>
      <c r="S39" s="152"/>
      <c r="T39" s="152"/>
      <c r="U39" s="209"/>
      <c r="V39" s="208"/>
      <c r="W39" s="179"/>
      <c r="X39" s="180"/>
      <c r="Y39" s="181"/>
      <c r="Z39" s="96"/>
      <c r="AA39" s="101"/>
      <c r="AB39" s="102"/>
      <c r="AC39" s="181"/>
      <c r="AD39" s="96"/>
      <c r="AE39" s="101"/>
      <c r="AF39" s="102"/>
      <c r="AH39" s="96"/>
      <c r="AI39" s="101"/>
      <c r="AJ39" s="102"/>
    </row>
    <row r="40" spans="1:36" ht="13.35" hidden="1" customHeight="1" outlineLevel="1" x14ac:dyDescent="0.3">
      <c r="A40" s="51" t="s">
        <v>86</v>
      </c>
      <c r="B40" s="51" t="s">
        <v>87</v>
      </c>
      <c r="D40" s="105" t="s">
        <v>49</v>
      </c>
      <c r="E40" s="106"/>
      <c r="F40" s="173">
        <v>90.73</v>
      </c>
      <c r="G40" s="108">
        <f t="shared" ref="G40:G41" si="29">E40-F40</f>
        <v>-90.73</v>
      </c>
      <c r="H40" s="210">
        <v>4512500</v>
      </c>
      <c r="I40" s="131">
        <v>4512500</v>
      </c>
      <c r="J40" s="132">
        <f t="shared" ref="J40:J54" si="30">I40-H40</f>
        <v>0</v>
      </c>
      <c r="K40" s="152">
        <v>4512400</v>
      </c>
      <c r="L40" s="152"/>
      <c r="M40" s="110">
        <f>K40+L40</f>
        <v>4512400</v>
      </c>
      <c r="N40" s="110"/>
      <c r="O40" s="110"/>
      <c r="P40" s="110">
        <f>M40+N40+O40</f>
        <v>4512400</v>
      </c>
      <c r="Q40" s="153">
        <v>4348377.21</v>
      </c>
      <c r="R40" s="152">
        <f>'[1]Salary Projections'!K10-'[1]Operating Results'!Q40</f>
        <v>300600.79000000004</v>
      </c>
      <c r="S40" s="135">
        <f>SUM(Q40:R40)</f>
        <v>4648978</v>
      </c>
      <c r="T40" s="136">
        <f>IF(ISERR(Q40/S40),"-",Q40/S40)</f>
        <v>0.93534045762315932</v>
      </c>
      <c r="U40" s="191">
        <f t="shared" ref="U40:U54" si="31">S40-I40</f>
        <v>136478</v>
      </c>
      <c r="V40" s="123">
        <f>P40-S40</f>
        <v>-136578</v>
      </c>
      <c r="W40" s="115">
        <f>IF(ISERR(V40/P40),"-",V40/P40)</f>
        <v>-3.0267263540466272E-2</v>
      </c>
      <c r="X40" s="154"/>
      <c r="Y40" s="155"/>
      <c r="Z40" s="118">
        <f>'[1]2021-22'!C151</f>
        <v>5089486.4000000004</v>
      </c>
      <c r="AA40" s="140">
        <f>O40-Z40</f>
        <v>-5089486.4000000004</v>
      </c>
      <c r="AB40" s="115">
        <f>IF(ISERR(AA40/Z40),"-",AA40/Z40)</f>
        <v>-1</v>
      </c>
      <c r="AC40" s="155"/>
      <c r="AD40" s="118">
        <v>3742074.72</v>
      </c>
      <c r="AE40" s="140">
        <f>S40-AD40</f>
        <v>906903.2799999998</v>
      </c>
      <c r="AF40" s="115">
        <f>IF(ISERR(AE40/AD40),"-",AE40/AD40)</f>
        <v>0.2423530655742758</v>
      </c>
      <c r="AH40" s="118">
        <v>3754698.78</v>
      </c>
      <c r="AI40" s="140">
        <f>S40-AH40</f>
        <v>894279.2200000002</v>
      </c>
      <c r="AJ40" s="115">
        <f>IF(ISERR(AI40/AH40),"-",AI40/AH40)</f>
        <v>0.23817602220543516</v>
      </c>
    </row>
    <row r="41" spans="1:36" ht="13.35" hidden="1" customHeight="1" outlineLevel="1" x14ac:dyDescent="0.3">
      <c r="A41" s="51"/>
      <c r="B41" s="51"/>
      <c r="D41" s="105" t="s">
        <v>50</v>
      </c>
      <c r="E41" s="106"/>
      <c r="F41" s="173">
        <f>F40</f>
        <v>90.73</v>
      </c>
      <c r="G41" s="108">
        <f t="shared" si="29"/>
        <v>-90.73</v>
      </c>
      <c r="H41" s="210"/>
      <c r="I41" s="131"/>
      <c r="J41" s="132"/>
      <c r="K41" s="152"/>
      <c r="L41" s="152"/>
      <c r="M41" s="110"/>
      <c r="N41" s="110"/>
      <c r="O41" s="110"/>
      <c r="P41" s="131"/>
      <c r="Q41" s="153"/>
      <c r="R41" s="152"/>
      <c r="S41" s="135"/>
      <c r="T41" s="136"/>
      <c r="U41" s="191"/>
      <c r="V41" s="123"/>
      <c r="W41" s="115"/>
      <c r="X41" s="154"/>
      <c r="Y41" s="155"/>
      <c r="Z41" s="156"/>
      <c r="AA41" s="140"/>
      <c r="AB41" s="115"/>
      <c r="AC41" s="155"/>
      <c r="AD41" s="156"/>
      <c r="AE41" s="140"/>
      <c r="AF41" s="115"/>
      <c r="AH41" s="156"/>
      <c r="AI41" s="140"/>
      <c r="AJ41" s="115"/>
    </row>
    <row r="42" spans="1:36" ht="13.35" hidden="1" customHeight="1" outlineLevel="1" x14ac:dyDescent="0.3">
      <c r="A42" s="51" t="s">
        <v>88</v>
      </c>
      <c r="B42" s="51" t="s">
        <v>89</v>
      </c>
      <c r="D42" s="105"/>
      <c r="E42" s="172"/>
      <c r="F42" s="173"/>
      <c r="G42" s="202"/>
      <c r="H42" s="130"/>
      <c r="I42" s="131"/>
      <c r="J42" s="132">
        <f t="shared" si="30"/>
        <v>0</v>
      </c>
      <c r="K42" s="152"/>
      <c r="L42" s="152"/>
      <c r="M42" s="131">
        <f>K42+L42</f>
        <v>0</v>
      </c>
      <c r="N42" s="131"/>
      <c r="O42" s="131"/>
      <c r="P42" s="131">
        <f>M42+N42+O42</f>
        <v>0</v>
      </c>
      <c r="Q42" s="153">
        <v>111972.26</v>
      </c>
      <c r="R42" s="152">
        <f>'[1]Salary Projections'!K17-'[1]Operating Results'!Q42</f>
        <v>22363.962000000014</v>
      </c>
      <c r="S42" s="135">
        <f>SUM(Q42:R42)</f>
        <v>134336.22200000001</v>
      </c>
      <c r="T42" s="136">
        <f>IF(ISERR(Q42/S42),"-",Q42/S42)</f>
        <v>0.8335224731867179</v>
      </c>
      <c r="U42" s="191">
        <f t="shared" si="31"/>
        <v>134336.22200000001</v>
      </c>
      <c r="V42" s="137">
        <f t="shared" ref="V42:V54" si="32">P42-S42</f>
        <v>-134336.22200000001</v>
      </c>
      <c r="W42" s="115" t="str">
        <f t="shared" ref="W42:W45" si="33">IF(ISERR(V42/P42),"-",V42/P42)</f>
        <v>-</v>
      </c>
      <c r="X42" s="154"/>
      <c r="Y42" s="155"/>
      <c r="Z42" s="156">
        <f>'[1]2021-22'!C152</f>
        <v>120550.47</v>
      </c>
      <c r="AA42" s="140">
        <f>O42-Z42</f>
        <v>-120550.47</v>
      </c>
      <c r="AB42" s="115">
        <f>IF(ISERR(AA42/Z42),"-",AA42/Z42)</f>
        <v>-1</v>
      </c>
      <c r="AC42" s="155"/>
      <c r="AD42" s="156">
        <v>123056.78</v>
      </c>
      <c r="AE42" s="140">
        <f>S42-AD42</f>
        <v>11279.44200000001</v>
      </c>
      <c r="AF42" s="115">
        <f>IF(ISERR(AE42/AD42),"-",AE42/AD42)</f>
        <v>9.1660467631283785E-2</v>
      </c>
      <c r="AH42" s="156">
        <v>104983.08</v>
      </c>
      <c r="AI42" s="140">
        <f>S42-AH42</f>
        <v>29353.142000000007</v>
      </c>
      <c r="AJ42" s="115">
        <f>IF(ISERR(AI42/AH42),"-",AI42/AH42)</f>
        <v>0.27959878868099514</v>
      </c>
    </row>
    <row r="43" spans="1:36" s="141" customFormat="1" ht="13.35" hidden="1" customHeight="1" outlineLevel="1" x14ac:dyDescent="0.3">
      <c r="A43" s="104" t="s">
        <v>90</v>
      </c>
      <c r="B43" s="104" t="s">
        <v>91</v>
      </c>
      <c r="E43" s="142"/>
      <c r="F43" s="143"/>
      <c r="G43" s="144"/>
      <c r="H43" s="210">
        <v>237700</v>
      </c>
      <c r="I43" s="131">
        <v>237700</v>
      </c>
      <c r="J43" s="132">
        <f t="shared" si="30"/>
        <v>0</v>
      </c>
      <c r="K43" s="145">
        <v>237800</v>
      </c>
      <c r="L43" s="145"/>
      <c r="M43" s="131">
        <f t="shared" ref="M43:M54" si="34">K43+L43</f>
        <v>237800</v>
      </c>
      <c r="N43" s="131"/>
      <c r="O43" s="131"/>
      <c r="P43" s="131">
        <f t="shared" ref="P43:P54" si="35">M43+N43+O43</f>
        <v>237800</v>
      </c>
      <c r="Q43" s="133">
        <v>292965.19</v>
      </c>
      <c r="R43" s="145">
        <f>'[1]Salary Projections'!K24-'[1]Operating Results'!Q43</f>
        <v>42906.14599999995</v>
      </c>
      <c r="S43" s="135">
        <f>SUM(Q43:R43)</f>
        <v>335871.33599999995</v>
      </c>
      <c r="T43" s="136">
        <f>IF(ISERR(Q43/S43),"-",Q43/S43)</f>
        <v>0.87225421939548908</v>
      </c>
      <c r="U43" s="191">
        <f t="shared" si="31"/>
        <v>98171.335999999952</v>
      </c>
      <c r="V43" s="137">
        <f t="shared" si="32"/>
        <v>-98071.335999999952</v>
      </c>
      <c r="W43" s="115">
        <f t="shared" si="33"/>
        <v>-0.41241100084104271</v>
      </c>
      <c r="X43" s="146"/>
      <c r="Y43" s="147"/>
      <c r="Z43" s="156">
        <f>'[1]2021-22'!C153</f>
        <v>264490.12</v>
      </c>
      <c r="AA43" s="140">
        <f>O43-Z43</f>
        <v>-264490.12</v>
      </c>
      <c r="AB43" s="115">
        <f>IF(ISERR(AA43/Z43),"-",AA43/Z43)</f>
        <v>-1</v>
      </c>
      <c r="AC43" s="147"/>
      <c r="AD43" s="156">
        <v>302370.84999999998</v>
      </c>
      <c r="AE43" s="140">
        <f>S43-AD43</f>
        <v>33500.485999999975</v>
      </c>
      <c r="AF43" s="115">
        <f>IF(ISERR(AE43/AD43),"-",AE43/AD43)</f>
        <v>0.11079271034228325</v>
      </c>
      <c r="AH43" s="156">
        <v>262577.91999999998</v>
      </c>
      <c r="AI43" s="140">
        <f>S43-AH43</f>
        <v>73293.415999999968</v>
      </c>
      <c r="AJ43" s="115">
        <f>IF(ISERR(AI43/AH43),"-",AI43/AH43)</f>
        <v>0.27913015686924464</v>
      </c>
    </row>
    <row r="44" spans="1:36" s="141" customFormat="1" ht="13.35" hidden="1" customHeight="1" outlineLevel="1" x14ac:dyDescent="0.2">
      <c r="A44" s="104" t="s">
        <v>92</v>
      </c>
      <c r="B44" s="104" t="s">
        <v>93</v>
      </c>
      <c r="E44" s="142"/>
      <c r="F44" s="143"/>
      <c r="G44" s="144"/>
      <c r="H44" s="130"/>
      <c r="I44" s="131">
        <v>505020</v>
      </c>
      <c r="J44" s="132">
        <f t="shared" si="30"/>
        <v>505020</v>
      </c>
      <c r="K44" s="145"/>
      <c r="L44" s="145"/>
      <c r="M44" s="131">
        <f t="shared" si="34"/>
        <v>0</v>
      </c>
      <c r="N44" s="131"/>
      <c r="O44" s="131">
        <v>505020</v>
      </c>
      <c r="P44" s="131">
        <f t="shared" si="35"/>
        <v>505020</v>
      </c>
      <c r="Q44" s="133">
        <v>476022.96</v>
      </c>
      <c r="R44" s="145">
        <f>P44-Q44</f>
        <v>28997.039999999979</v>
      </c>
      <c r="S44" s="135">
        <f>SUM(Q44:R44)</f>
        <v>505020</v>
      </c>
      <c r="T44" s="136">
        <f>IF(ISERR(Q44/S44),"-",Q44/S44)</f>
        <v>0.94258239277652378</v>
      </c>
      <c r="U44" s="191">
        <f t="shared" si="31"/>
        <v>0</v>
      </c>
      <c r="V44" s="137">
        <f t="shared" si="32"/>
        <v>0</v>
      </c>
      <c r="W44" s="115">
        <f t="shared" si="33"/>
        <v>0</v>
      </c>
      <c r="X44" s="146"/>
      <c r="Y44" s="147"/>
      <c r="Z44" s="130">
        <f>SUM('[1]2021-22'!C154:C186)</f>
        <v>507091.2199999998</v>
      </c>
      <c r="AA44" s="140">
        <f>O44-Z44</f>
        <v>-2071.2199999997974</v>
      </c>
      <c r="AB44" s="115">
        <f>IF(ISERR(AA44/Z44),"-",AA44/Z44)</f>
        <v>-4.0845116584739887E-3</v>
      </c>
      <c r="AC44" s="147"/>
      <c r="AD44" s="130">
        <v>540515.35000000009</v>
      </c>
      <c r="AE44" s="140">
        <f>S44-AD44</f>
        <v>-35495.350000000093</v>
      </c>
      <c r="AF44" s="115">
        <f>IF(ISERR(AE44/AD44),"-",AE44/AD44)</f>
        <v>-6.5669457860910121E-2</v>
      </c>
      <c r="AH44" s="130">
        <v>509366.4</v>
      </c>
      <c r="AI44" s="140">
        <f>S44-AH44</f>
        <v>-4346.4000000000233</v>
      </c>
      <c r="AJ44" s="115">
        <f t="shared" ref="AJ44:AJ45" si="36">IF(ISERR(AI44/AH44),"-",AI44/AH44)</f>
        <v>-8.5329538815281554E-3</v>
      </c>
    </row>
    <row r="45" spans="1:36" ht="13.35" hidden="1" customHeight="1" outlineLevel="1" x14ac:dyDescent="0.3">
      <c r="A45" s="51" t="s">
        <v>94</v>
      </c>
      <c r="B45" s="11" t="s">
        <v>95</v>
      </c>
      <c r="D45" s="105" t="s">
        <v>49</v>
      </c>
      <c r="E45" s="106"/>
      <c r="F45" s="173">
        <f>14.5+5+6+1.7+13.59</f>
        <v>40.79</v>
      </c>
      <c r="G45" s="108">
        <f t="shared" ref="G45:G46" si="37">E45-F45</f>
        <v>-40.79</v>
      </c>
      <c r="H45" s="211">
        <v>5175100</v>
      </c>
      <c r="I45" s="110">
        <v>5175100</v>
      </c>
      <c r="J45" s="132">
        <f t="shared" si="30"/>
        <v>0</v>
      </c>
      <c r="K45" s="212">
        <v>5175100</v>
      </c>
      <c r="L45" s="213"/>
      <c r="M45" s="131">
        <f t="shared" si="34"/>
        <v>5175100</v>
      </c>
      <c r="N45" s="131"/>
      <c r="O45" s="131"/>
      <c r="P45" s="131">
        <f t="shared" si="35"/>
        <v>5175100</v>
      </c>
      <c r="Q45" s="214">
        <v>3586610.91</v>
      </c>
      <c r="R45" s="215">
        <f>'[1]Salary Projections'!N10-'[1]Operating Results'!Q45</f>
        <v>462143.50299999956</v>
      </c>
      <c r="S45" s="215">
        <f t="shared" ref="S45:S54" si="38">SUM(Q45:R45)</f>
        <v>4048754.4129999997</v>
      </c>
      <c r="T45" s="136">
        <f t="shared" ref="T45:T55" si="39">IF(ISERR(Q45/S45),"-",Q45/S45)</f>
        <v>0.88585538764314287</v>
      </c>
      <c r="U45" s="191">
        <f t="shared" si="31"/>
        <v>-1126345.5870000003</v>
      </c>
      <c r="V45" s="137">
        <f t="shared" si="32"/>
        <v>1126345.5870000003</v>
      </c>
      <c r="W45" s="201">
        <f t="shared" si="33"/>
        <v>0.21764711541805962</v>
      </c>
      <c r="X45" s="154"/>
      <c r="Y45" s="155"/>
      <c r="Z45" s="130">
        <f>'[1]2021-22'!C217</f>
        <v>2870234.16</v>
      </c>
      <c r="AA45" s="140">
        <f>O45-Z45</f>
        <v>-2870234.16</v>
      </c>
      <c r="AB45" s="115">
        <f>IF(ISERR(AA45/Z45),"-",AA45/Z45)</f>
        <v>-1</v>
      </c>
      <c r="AC45" s="155"/>
      <c r="AD45" s="130">
        <v>2221047.29</v>
      </c>
      <c r="AE45" s="140">
        <f>S45-AD45</f>
        <v>1827707.1229999997</v>
      </c>
      <c r="AF45" s="115">
        <f>IF(ISERR(AE45/AD45),"-",AE45/AD45)</f>
        <v>0.82290329036623067</v>
      </c>
      <c r="AH45" s="130">
        <v>2266273.25</v>
      </c>
      <c r="AI45" s="140">
        <f>S45-AH45</f>
        <v>1782481.1629999997</v>
      </c>
      <c r="AJ45" s="115">
        <f t="shared" si="36"/>
        <v>0.78652526256487376</v>
      </c>
    </row>
    <row r="46" spans="1:36" ht="13.35" hidden="1" customHeight="1" outlineLevel="1" x14ac:dyDescent="0.3">
      <c r="A46" s="51"/>
      <c r="D46" s="105" t="s">
        <v>50</v>
      </c>
      <c r="E46" s="106"/>
      <c r="F46" s="173">
        <f>F45</f>
        <v>40.79</v>
      </c>
      <c r="G46" s="108">
        <f t="shared" si="37"/>
        <v>-40.79</v>
      </c>
      <c r="H46" s="211"/>
      <c r="I46" s="110"/>
      <c r="J46" s="132"/>
      <c r="K46" s="212"/>
      <c r="L46" s="212"/>
      <c r="M46" s="131">
        <f t="shared" si="34"/>
        <v>0</v>
      </c>
      <c r="N46" s="131"/>
      <c r="O46" s="131"/>
      <c r="P46" s="131">
        <f t="shared" si="35"/>
        <v>0</v>
      </c>
      <c r="Q46" s="214"/>
      <c r="R46" s="215"/>
      <c r="S46" s="215"/>
      <c r="T46" s="136"/>
      <c r="U46" s="191"/>
      <c r="V46" s="137"/>
      <c r="W46" s="201"/>
      <c r="X46" s="154"/>
      <c r="Y46" s="155"/>
      <c r="Z46" s="130"/>
      <c r="AA46" s="140"/>
      <c r="AB46" s="115"/>
      <c r="AC46" s="155"/>
      <c r="AD46" s="130"/>
      <c r="AE46" s="140"/>
      <c r="AF46" s="115"/>
      <c r="AH46" s="130"/>
      <c r="AI46" s="140"/>
      <c r="AJ46" s="115"/>
    </row>
    <row r="47" spans="1:36" ht="13.35" hidden="1" customHeight="1" outlineLevel="1" x14ac:dyDescent="0.3">
      <c r="A47" s="51" t="s">
        <v>96</v>
      </c>
      <c r="B47" s="51" t="s">
        <v>97</v>
      </c>
      <c r="E47" s="172"/>
      <c r="F47" s="173"/>
      <c r="G47" s="202"/>
      <c r="H47" s="211">
        <v>210300</v>
      </c>
      <c r="I47" s="131">
        <v>210300</v>
      </c>
      <c r="J47" s="132">
        <f t="shared" si="30"/>
        <v>0</v>
      </c>
      <c r="K47" s="213">
        <v>210300</v>
      </c>
      <c r="L47" s="213"/>
      <c r="M47" s="131">
        <f t="shared" si="34"/>
        <v>210300</v>
      </c>
      <c r="N47" s="131"/>
      <c r="O47" s="131"/>
      <c r="P47" s="131">
        <f t="shared" si="35"/>
        <v>210300</v>
      </c>
      <c r="Q47" s="153">
        <v>68459.520000000004</v>
      </c>
      <c r="R47" s="152">
        <f>P47-Q47</f>
        <v>141840.47999999998</v>
      </c>
      <c r="S47" s="135">
        <f t="shared" si="38"/>
        <v>210300</v>
      </c>
      <c r="T47" s="136">
        <f t="shared" si="39"/>
        <v>0.32553266761768901</v>
      </c>
      <c r="U47" s="191">
        <f t="shared" si="31"/>
        <v>0</v>
      </c>
      <c r="V47" s="137">
        <f t="shared" si="32"/>
        <v>0</v>
      </c>
      <c r="W47" s="201">
        <f>IF(ISERR(V47/P47),"-",V47/P47)</f>
        <v>0</v>
      </c>
      <c r="X47" s="154"/>
      <c r="Y47" s="155"/>
      <c r="Z47" s="124">
        <f>SUM('[1]2021-22'!C218:C232)</f>
        <v>31704.97</v>
      </c>
      <c r="AA47" s="140">
        <f>O47-Z47</f>
        <v>-31704.97</v>
      </c>
      <c r="AB47" s="115">
        <f>IF(ISERR(AA47/Z47),"-",AA47/Z47)</f>
        <v>-1</v>
      </c>
      <c r="AC47" s="155"/>
      <c r="AD47" s="124">
        <v>41672.35</v>
      </c>
      <c r="AE47" s="140">
        <f>S47-AD47</f>
        <v>168627.65</v>
      </c>
      <c r="AF47" s="115">
        <f>IF(ISERR(AE47/AD47),"-",AE47/AD47)</f>
        <v>4.0465116558101473</v>
      </c>
      <c r="AH47" s="124">
        <v>43425.33</v>
      </c>
      <c r="AI47" s="140">
        <f>S47-AH47</f>
        <v>166874.66999999998</v>
      </c>
      <c r="AJ47" s="115">
        <f t="shared" ref="AJ47" si="40">IF(ISERR(AI47/AH47),"-",AI47/AH47)</f>
        <v>3.842795667874026</v>
      </c>
    </row>
    <row r="48" spans="1:36" ht="13.35" hidden="1" customHeight="1" outlineLevel="1" x14ac:dyDescent="0.3">
      <c r="A48" s="216" t="s">
        <v>98</v>
      </c>
      <c r="B48" s="216" t="s">
        <v>99</v>
      </c>
      <c r="C48" s="125"/>
      <c r="D48" s="105" t="s">
        <v>49</v>
      </c>
      <c r="E48" s="106"/>
      <c r="F48" s="217">
        <v>26.62</v>
      </c>
      <c r="G48" s="108">
        <f t="shared" ref="G48:G49" si="41">E48-F48</f>
        <v>-26.62</v>
      </c>
      <c r="H48" s="211">
        <f>887800+273667</f>
        <v>1161467</v>
      </c>
      <c r="I48" s="131">
        <v>1161467</v>
      </c>
      <c r="J48" s="132">
        <f t="shared" si="30"/>
        <v>0</v>
      </c>
      <c r="K48" s="134">
        <v>1161500</v>
      </c>
      <c r="L48" s="134"/>
      <c r="M48" s="131">
        <f t="shared" si="34"/>
        <v>1161500</v>
      </c>
      <c r="N48" s="131"/>
      <c r="O48" s="131"/>
      <c r="P48" s="131">
        <f t="shared" si="35"/>
        <v>1161500</v>
      </c>
      <c r="Q48" s="218">
        <v>736093.32</v>
      </c>
      <c r="R48" s="134">
        <f>'[1]Salary Projections'!Q10-'[1]Operating Results'!Q48</f>
        <v>64336.295999999973</v>
      </c>
      <c r="S48" s="135">
        <f t="shared" si="38"/>
        <v>800429.61599999992</v>
      </c>
      <c r="T48" s="136">
        <f t="shared" si="39"/>
        <v>0.91962279416707637</v>
      </c>
      <c r="U48" s="191">
        <f t="shared" si="31"/>
        <v>-361037.38400000008</v>
      </c>
      <c r="V48" s="137">
        <f t="shared" si="32"/>
        <v>361070.38400000008</v>
      </c>
      <c r="W48" s="115">
        <f>IF(ISERR(V48/P48),"-",V48/P48)</f>
        <v>0.31086559104606121</v>
      </c>
      <c r="X48" s="219"/>
      <c r="Y48" s="220"/>
      <c r="Z48" s="130">
        <f>'[1]2021-22'!C237</f>
        <v>934549.97</v>
      </c>
      <c r="AA48" s="140">
        <f>O48-Z48</f>
        <v>-934549.97</v>
      </c>
      <c r="AB48" s="115">
        <f>IF(ISERR(AA48/Z48),"-",AA48/Z48)</f>
        <v>-1</v>
      </c>
      <c r="AC48" s="220"/>
      <c r="AD48" s="130">
        <v>818621.04</v>
      </c>
      <c r="AE48" s="140">
        <f>S48-AD48</f>
        <v>-18191.424000000115</v>
      </c>
      <c r="AF48" s="115">
        <f>IF(ISERR(AE48/AD48),"-",AE48/AD48)</f>
        <v>-2.2222033286611001E-2</v>
      </c>
      <c r="AH48" s="130">
        <v>829111.89</v>
      </c>
      <c r="AI48" s="140">
        <f>S48-AH48</f>
        <v>-28682.274000000092</v>
      </c>
      <c r="AJ48" s="115">
        <f>IF(ISERR(AI48/AH48),"-",AI48/AH48)</f>
        <v>-3.4593972593976542E-2</v>
      </c>
    </row>
    <row r="49" spans="1:36" ht="13.35" hidden="1" customHeight="1" outlineLevel="1" x14ac:dyDescent="0.3">
      <c r="A49" s="216"/>
      <c r="B49" s="216"/>
      <c r="C49" s="125"/>
      <c r="D49" s="105" t="s">
        <v>50</v>
      </c>
      <c r="E49" s="106"/>
      <c r="F49" s="217">
        <f>F48</f>
        <v>26.62</v>
      </c>
      <c r="G49" s="108">
        <f t="shared" si="41"/>
        <v>-26.62</v>
      </c>
      <c r="H49" s="211"/>
      <c r="I49" s="131"/>
      <c r="J49" s="132"/>
      <c r="K49" s="134"/>
      <c r="L49" s="134"/>
      <c r="M49" s="131">
        <f t="shared" si="34"/>
        <v>0</v>
      </c>
      <c r="N49" s="131"/>
      <c r="O49" s="131"/>
      <c r="P49" s="131">
        <f t="shared" si="35"/>
        <v>0</v>
      </c>
      <c r="Q49" s="218"/>
      <c r="R49" s="134"/>
      <c r="S49" s="135"/>
      <c r="T49" s="136"/>
      <c r="U49" s="191"/>
      <c r="V49" s="137"/>
      <c r="W49" s="115"/>
      <c r="X49" s="219"/>
      <c r="Y49" s="220"/>
      <c r="Z49" s="130"/>
      <c r="AA49" s="140"/>
      <c r="AB49" s="115"/>
      <c r="AC49" s="220"/>
      <c r="AD49" s="130"/>
      <c r="AE49" s="140"/>
      <c r="AF49" s="115"/>
      <c r="AH49" s="130"/>
      <c r="AI49" s="140"/>
      <c r="AJ49" s="115"/>
    </row>
    <row r="50" spans="1:36" ht="13.35" hidden="1" customHeight="1" outlineLevel="1" x14ac:dyDescent="0.3">
      <c r="A50" s="216" t="s">
        <v>100</v>
      </c>
      <c r="B50" s="216" t="s">
        <v>101</v>
      </c>
      <c r="C50" s="125"/>
      <c r="D50" s="105"/>
      <c r="E50" s="221"/>
      <c r="F50" s="217"/>
      <c r="G50" s="108"/>
      <c r="H50" s="130"/>
      <c r="I50" s="131"/>
      <c r="J50" s="132">
        <f t="shared" si="30"/>
        <v>0</v>
      </c>
      <c r="K50" s="134"/>
      <c r="L50" s="134"/>
      <c r="M50" s="131">
        <f t="shared" si="34"/>
        <v>0</v>
      </c>
      <c r="N50" s="131"/>
      <c r="O50" s="131"/>
      <c r="P50" s="131">
        <f t="shared" si="35"/>
        <v>0</v>
      </c>
      <c r="Q50" s="218">
        <v>40677.08</v>
      </c>
      <c r="R50" s="134">
        <f>'[1]Salary Projections'!Q17-'[1]Operating Results'!Q50</f>
        <v>3530.0260000000053</v>
      </c>
      <c r="S50" s="135">
        <f t="shared" si="38"/>
        <v>44207.106000000007</v>
      </c>
      <c r="T50" s="136">
        <f t="shared" si="39"/>
        <v>0.9201479961162804</v>
      </c>
      <c r="U50" s="191">
        <f t="shared" si="31"/>
        <v>44207.106000000007</v>
      </c>
      <c r="V50" s="137">
        <f t="shared" si="32"/>
        <v>-44207.106000000007</v>
      </c>
      <c r="W50" s="115" t="str">
        <f t="shared" ref="W50:W55" si="42">IF(ISERR(V50/P50),"-",V50/P50)</f>
        <v>-</v>
      </c>
      <c r="X50" s="219"/>
      <c r="Y50" s="220"/>
      <c r="Z50" s="130">
        <f>'[1]2021-22'!C238</f>
        <v>8100.87</v>
      </c>
      <c r="AA50" s="140">
        <f>O50-Z50</f>
        <v>-8100.87</v>
      </c>
      <c r="AB50" s="115">
        <f>IF(ISERR(AA50/Z50),"-",AA50/Z50)</f>
        <v>-1</v>
      </c>
      <c r="AC50" s="220"/>
      <c r="AD50" s="130">
        <v>17128.48</v>
      </c>
      <c r="AE50" s="140">
        <f>S50-AD50</f>
        <v>27078.626000000007</v>
      </c>
      <c r="AF50" s="115">
        <f>IF(ISERR(AE50/AD50),"-",AE50/AD50)</f>
        <v>1.5809123751786502</v>
      </c>
      <c r="AH50" s="130">
        <v>12086.59</v>
      </c>
      <c r="AI50" s="140">
        <f>S50-AH50</f>
        <v>32120.516000000007</v>
      </c>
      <c r="AJ50" s="115">
        <f>IF(ISERR(AI50/AH50),"-",AI50/AH50)</f>
        <v>2.6575333489429198</v>
      </c>
    </row>
    <row r="51" spans="1:36" ht="13.35" hidden="1" customHeight="1" outlineLevel="1" x14ac:dyDescent="0.3">
      <c r="A51" s="216" t="s">
        <v>102</v>
      </c>
      <c r="B51" s="216" t="s">
        <v>103</v>
      </c>
      <c r="C51" s="125"/>
      <c r="D51" s="105"/>
      <c r="E51" s="221"/>
      <c r="F51" s="217"/>
      <c r="G51" s="202"/>
      <c r="H51" s="130"/>
      <c r="I51" s="131"/>
      <c r="J51" s="132">
        <f t="shared" si="30"/>
        <v>0</v>
      </c>
      <c r="K51" s="134"/>
      <c r="L51" s="134"/>
      <c r="M51" s="131">
        <f t="shared" si="34"/>
        <v>0</v>
      </c>
      <c r="N51" s="131"/>
      <c r="O51" s="131"/>
      <c r="P51" s="131">
        <f t="shared" si="35"/>
        <v>0</v>
      </c>
      <c r="Q51" s="218">
        <v>109941.27</v>
      </c>
      <c r="R51" s="134">
        <f>'[1]Salary Projections'!Q24-'[1]Operating Results'!Q51</f>
        <v>14072.749999999985</v>
      </c>
      <c r="S51" s="135">
        <f t="shared" si="38"/>
        <v>124014.01999999999</v>
      </c>
      <c r="T51" s="136">
        <f t="shared" si="39"/>
        <v>0.88652291087733481</v>
      </c>
      <c r="U51" s="191">
        <f t="shared" si="31"/>
        <v>124014.01999999999</v>
      </c>
      <c r="V51" s="137">
        <f t="shared" si="32"/>
        <v>-124014.01999999999</v>
      </c>
      <c r="W51" s="115" t="str">
        <f t="shared" si="42"/>
        <v>-</v>
      </c>
      <c r="X51" s="219"/>
      <c r="Y51" s="220"/>
      <c r="Z51" s="130">
        <f>'[1]2021-22'!C239</f>
        <v>188734.53</v>
      </c>
      <c r="AA51" s="140">
        <f>O51-Z51</f>
        <v>-188734.53</v>
      </c>
      <c r="AB51" s="115">
        <f>IF(ISERR(AA51/Z51),"-",AA51/Z51)</f>
        <v>-1</v>
      </c>
      <c r="AC51" s="220"/>
      <c r="AD51" s="130">
        <v>124062.56</v>
      </c>
      <c r="AE51" s="140">
        <f>S51-AD51</f>
        <v>-48.540000000008149</v>
      </c>
      <c r="AF51" s="115">
        <f>IF(ISERR(AE51/AD51),"-",AE51/AD51)</f>
        <v>-3.9125421883933517E-4</v>
      </c>
      <c r="AH51" s="130">
        <v>119252.13</v>
      </c>
      <c r="AI51" s="140">
        <f>S51-AH51</f>
        <v>4761.8899999999849</v>
      </c>
      <c r="AJ51" s="115">
        <f>IF(ISERR(AI51/AH51),"-",AI51/AH51)</f>
        <v>3.9931278376327407E-2</v>
      </c>
    </row>
    <row r="52" spans="1:36" ht="13.35" hidden="1" customHeight="1" outlineLevel="1" x14ac:dyDescent="0.3">
      <c r="A52" s="216" t="s">
        <v>104</v>
      </c>
      <c r="B52" s="216" t="s">
        <v>105</v>
      </c>
      <c r="C52" s="125"/>
      <c r="D52" s="105"/>
      <c r="E52" s="221"/>
      <c r="F52" s="217"/>
      <c r="G52" s="202"/>
      <c r="H52" s="130"/>
      <c r="I52" s="131"/>
      <c r="J52" s="132">
        <f t="shared" si="30"/>
        <v>0</v>
      </c>
      <c r="K52" s="134"/>
      <c r="L52" s="134"/>
      <c r="M52" s="131">
        <f t="shared" si="34"/>
        <v>0</v>
      </c>
      <c r="N52" s="131"/>
      <c r="O52" s="131"/>
      <c r="P52" s="131">
        <f t="shared" si="35"/>
        <v>0</v>
      </c>
      <c r="Q52" s="218">
        <v>12625.1</v>
      </c>
      <c r="R52" s="134">
        <f>P52-Q52</f>
        <v>-12625.1</v>
      </c>
      <c r="S52" s="135">
        <f t="shared" si="38"/>
        <v>0</v>
      </c>
      <c r="T52" s="136" t="str">
        <f t="shared" si="39"/>
        <v>-</v>
      </c>
      <c r="U52" s="191">
        <f t="shared" si="31"/>
        <v>0</v>
      </c>
      <c r="V52" s="137">
        <f t="shared" si="32"/>
        <v>0</v>
      </c>
      <c r="W52" s="115" t="str">
        <f t="shared" si="42"/>
        <v>-</v>
      </c>
      <c r="X52" s="219"/>
      <c r="Y52" s="220"/>
      <c r="Z52" s="130">
        <f>'[1]2021-22'!C244</f>
        <v>80671.91</v>
      </c>
      <c r="AA52" s="140"/>
      <c r="AB52" s="115"/>
      <c r="AC52" s="220"/>
      <c r="AD52" s="130"/>
      <c r="AE52" s="140"/>
      <c r="AF52" s="115"/>
      <c r="AH52" s="130"/>
      <c r="AI52" s="140"/>
      <c r="AJ52" s="115"/>
    </row>
    <row r="53" spans="1:36" ht="13.35" hidden="1" customHeight="1" outlineLevel="1" x14ac:dyDescent="0.3">
      <c r="A53" s="216" t="s">
        <v>106</v>
      </c>
      <c r="B53" s="216" t="s">
        <v>107</v>
      </c>
      <c r="C53" s="125"/>
      <c r="D53" s="105"/>
      <c r="E53" s="221"/>
      <c r="F53" s="217"/>
      <c r="G53" s="202"/>
      <c r="H53" s="130"/>
      <c r="I53" s="131"/>
      <c r="J53" s="132">
        <f t="shared" si="30"/>
        <v>0</v>
      </c>
      <c r="K53" s="134"/>
      <c r="L53" s="134"/>
      <c r="M53" s="131">
        <f t="shared" si="34"/>
        <v>0</v>
      </c>
      <c r="N53" s="131"/>
      <c r="O53" s="131"/>
      <c r="P53" s="131">
        <f t="shared" si="35"/>
        <v>0</v>
      </c>
      <c r="Q53" s="218">
        <v>317147.59999999998</v>
      </c>
      <c r="R53" s="134">
        <f>P53-Q53</f>
        <v>-317147.59999999998</v>
      </c>
      <c r="S53" s="135">
        <f t="shared" si="38"/>
        <v>0</v>
      </c>
      <c r="T53" s="136" t="str">
        <f t="shared" si="39"/>
        <v>-</v>
      </c>
      <c r="U53" s="191">
        <f t="shared" si="31"/>
        <v>0</v>
      </c>
      <c r="V53" s="137">
        <f t="shared" si="32"/>
        <v>0</v>
      </c>
      <c r="W53" s="115" t="str">
        <f t="shared" si="42"/>
        <v>-</v>
      </c>
      <c r="X53" s="219"/>
      <c r="Y53" s="220"/>
      <c r="Z53" s="130">
        <f>'[1]2021-22'!C278</f>
        <v>74728.08</v>
      </c>
      <c r="AA53" s="140">
        <f>O53-Z53</f>
        <v>-74728.08</v>
      </c>
      <c r="AB53" s="115">
        <f>IF(ISERR(AA53/Z53),"-",AA53/Z53)</f>
        <v>-1</v>
      </c>
      <c r="AC53" s="220"/>
      <c r="AD53" s="130">
        <v>0</v>
      </c>
      <c r="AE53" s="140">
        <f>S53-AD53</f>
        <v>0</v>
      </c>
      <c r="AF53" s="115" t="str">
        <f>IF(ISERR(AE53/AD53),"-",AE53/AD53)</f>
        <v>-</v>
      </c>
      <c r="AH53" s="130">
        <v>3464.5</v>
      </c>
      <c r="AI53" s="140">
        <f>S53-AH53</f>
        <v>-3464.5</v>
      </c>
      <c r="AJ53" s="115">
        <f>IF(ISERR(AI53/AH53),"-",AI53/AH53)</f>
        <v>-1</v>
      </c>
    </row>
    <row r="54" spans="1:36" ht="13.35" hidden="1" customHeight="1" outlineLevel="1" x14ac:dyDescent="0.3">
      <c r="A54" s="216" t="s">
        <v>108</v>
      </c>
      <c r="B54" s="216" t="s">
        <v>109</v>
      </c>
      <c r="C54" s="125"/>
      <c r="D54" s="105"/>
      <c r="E54" s="221"/>
      <c r="F54" s="217"/>
      <c r="G54" s="202"/>
      <c r="H54" s="130"/>
      <c r="I54" s="131"/>
      <c r="J54" s="132">
        <f t="shared" si="30"/>
        <v>0</v>
      </c>
      <c r="K54" s="134"/>
      <c r="L54" s="134">
        <f>17800+16000+28101+7500</f>
        <v>69401</v>
      </c>
      <c r="M54" s="131">
        <f t="shared" si="34"/>
        <v>69401</v>
      </c>
      <c r="N54" s="131"/>
      <c r="O54" s="131"/>
      <c r="P54" s="131">
        <f t="shared" si="35"/>
        <v>69401</v>
      </c>
      <c r="Q54" s="218">
        <f>149963.3+58582.63</f>
        <v>208545.93</v>
      </c>
      <c r="R54" s="134">
        <f>P54-Q54</f>
        <v>-139144.93</v>
      </c>
      <c r="S54" s="135">
        <f t="shared" si="38"/>
        <v>69401</v>
      </c>
      <c r="T54" s="136">
        <f t="shared" si="39"/>
        <v>3.0049412832668114</v>
      </c>
      <c r="U54" s="191">
        <f t="shared" si="31"/>
        <v>69401</v>
      </c>
      <c r="V54" s="137">
        <f t="shared" si="32"/>
        <v>0</v>
      </c>
      <c r="W54" s="115">
        <f t="shared" si="42"/>
        <v>0</v>
      </c>
      <c r="X54" s="219"/>
      <c r="Y54" s="220"/>
      <c r="Z54" s="130">
        <f>'[1]2021-22'!C214</f>
        <v>159979.72</v>
      </c>
      <c r="AA54" s="140"/>
      <c r="AB54" s="115"/>
      <c r="AC54" s="220"/>
      <c r="AD54" s="130"/>
      <c r="AE54" s="140"/>
      <c r="AF54" s="115"/>
      <c r="AH54" s="130"/>
      <c r="AI54" s="140"/>
      <c r="AJ54" s="115"/>
    </row>
    <row r="55" spans="1:36" ht="13.35" customHeight="1" collapsed="1" x14ac:dyDescent="0.3">
      <c r="A55" s="1" t="s">
        <v>110</v>
      </c>
      <c r="E55" s="203">
        <f>SUM(E40:E54)</f>
        <v>0</v>
      </c>
      <c r="F55" s="159">
        <f>F41+F46+F49</f>
        <v>158.14000000000001</v>
      </c>
      <c r="G55" s="160">
        <f t="shared" ref="G55:S55" si="43">SUM(G40:G54)</f>
        <v>-316.28000000000003</v>
      </c>
      <c r="H55" s="163">
        <f t="shared" si="43"/>
        <v>11297067</v>
      </c>
      <c r="I55" s="163">
        <f t="shared" si="43"/>
        <v>11802087</v>
      </c>
      <c r="J55" s="204">
        <f t="shared" si="43"/>
        <v>505020</v>
      </c>
      <c r="K55" s="163">
        <f t="shared" si="43"/>
        <v>11297100</v>
      </c>
      <c r="L55" s="163">
        <f t="shared" si="43"/>
        <v>69401</v>
      </c>
      <c r="M55" s="163">
        <f t="shared" si="43"/>
        <v>11366501</v>
      </c>
      <c r="N55" s="163">
        <f t="shared" si="43"/>
        <v>0</v>
      </c>
      <c r="O55" s="222">
        <f t="shared" si="43"/>
        <v>505020</v>
      </c>
      <c r="P55" s="163">
        <f t="shared" si="43"/>
        <v>11871521</v>
      </c>
      <c r="Q55" s="165">
        <f t="shared" si="43"/>
        <v>10309438.35</v>
      </c>
      <c r="R55" s="163">
        <f t="shared" si="43"/>
        <v>611873.36299999943</v>
      </c>
      <c r="S55" s="163">
        <f t="shared" si="43"/>
        <v>10921311.713000001</v>
      </c>
      <c r="T55" s="166">
        <f t="shared" si="39"/>
        <v>0.94397437056286304</v>
      </c>
      <c r="U55" s="205">
        <f>SUM(U40:U54)</f>
        <v>-880775.28700000048</v>
      </c>
      <c r="V55" s="167">
        <f>SUM(V40:V54)</f>
        <v>950209.28700000048</v>
      </c>
      <c r="W55" s="168">
        <f t="shared" si="42"/>
        <v>8.0041073675395133E-2</v>
      </c>
      <c r="X55" s="169"/>
      <c r="Y55" s="155"/>
      <c r="Z55" s="170">
        <f>SUM(Z40:Z54)</f>
        <v>10330322.420000002</v>
      </c>
      <c r="AA55" s="206">
        <f>SUM(AA40:AA54)</f>
        <v>-9584650.7899999991</v>
      </c>
      <c r="AB55" s="168">
        <f>IF(ISERR(AA55/Z55),"-",AA55/Z55)</f>
        <v>-0.92781719682278774</v>
      </c>
      <c r="AC55" s="155"/>
      <c r="AD55" s="170">
        <f>SUM(AD40:AD54)</f>
        <v>7930549.4199999999</v>
      </c>
      <c r="AE55" s="206">
        <f>SUM(AE40:AE54)</f>
        <v>2921361.2929999996</v>
      </c>
      <c r="AF55" s="168">
        <f>IF(ISERR(AE55/AD55),"-",AE55/AD55)</f>
        <v>0.36836808375881724</v>
      </c>
      <c r="AH55" s="170">
        <v>7905239.8699999992</v>
      </c>
      <c r="AI55" s="206">
        <f>SUM(AI40:AI54)</f>
        <v>2946670.8429999994</v>
      </c>
      <c r="AJ55" s="168">
        <f t="shared" ref="AJ55" si="44">IF(ISERR(AI55/AH55),"-",AI55/AH55)</f>
        <v>0.37274907421626408</v>
      </c>
    </row>
    <row r="56" spans="1:36" ht="13.35" customHeight="1" x14ac:dyDescent="0.3">
      <c r="A56" s="1"/>
      <c r="B56" s="10"/>
      <c r="E56" s="172"/>
      <c r="F56" s="173"/>
      <c r="G56" s="174"/>
      <c r="H56" s="172"/>
      <c r="I56" s="152"/>
      <c r="J56" s="152"/>
      <c r="K56" s="152"/>
      <c r="L56" s="152"/>
      <c r="M56" s="152"/>
      <c r="N56" s="152"/>
      <c r="O56" s="152"/>
      <c r="P56" s="152"/>
      <c r="Q56" s="153"/>
      <c r="R56" s="152"/>
      <c r="S56" s="152"/>
      <c r="T56" s="113"/>
      <c r="U56" s="207"/>
      <c r="V56" s="208"/>
      <c r="W56" s="179"/>
      <c r="X56" s="180"/>
      <c r="Y56" s="181"/>
      <c r="Z56" s="96"/>
      <c r="AA56" s="101"/>
      <c r="AB56" s="102"/>
      <c r="AC56" s="181"/>
      <c r="AD56" s="96"/>
      <c r="AE56" s="101"/>
      <c r="AF56" s="102"/>
      <c r="AH56" s="96"/>
      <c r="AI56" s="101"/>
      <c r="AJ56" s="102"/>
    </row>
    <row r="57" spans="1:36" ht="13.35" customHeight="1" x14ac:dyDescent="0.3">
      <c r="A57" s="1"/>
      <c r="B57" s="10"/>
      <c r="E57" s="172"/>
      <c r="F57" s="173"/>
      <c r="G57" s="174"/>
      <c r="H57" s="172"/>
      <c r="I57" s="152"/>
      <c r="J57" s="152"/>
      <c r="K57" s="152"/>
      <c r="L57" s="152"/>
      <c r="M57" s="152"/>
      <c r="N57" s="152"/>
      <c r="O57" s="152"/>
      <c r="P57" s="152"/>
      <c r="Q57" s="153"/>
      <c r="R57" s="152"/>
      <c r="S57" s="152"/>
      <c r="T57" s="113"/>
      <c r="U57" s="207"/>
      <c r="V57" s="208"/>
      <c r="W57" s="179"/>
      <c r="X57" s="180"/>
      <c r="Y57" s="181"/>
      <c r="Z57" s="96"/>
      <c r="AA57" s="101"/>
      <c r="AB57" s="102"/>
      <c r="AC57" s="181"/>
      <c r="AD57" s="96"/>
      <c r="AE57" s="101"/>
      <c r="AF57" s="102"/>
      <c r="AH57" s="96"/>
      <c r="AI57" s="101"/>
      <c r="AJ57" s="102"/>
    </row>
    <row r="58" spans="1:36" ht="13.35" hidden="1" customHeight="1" outlineLevel="1" x14ac:dyDescent="0.3">
      <c r="A58" s="103" t="s">
        <v>111</v>
      </c>
      <c r="B58" s="10"/>
      <c r="E58" s="172"/>
      <c r="F58" s="173"/>
      <c r="G58" s="174"/>
      <c r="H58" s="172"/>
      <c r="I58" s="152"/>
      <c r="J58" s="152"/>
      <c r="K58" s="152"/>
      <c r="L58" s="152"/>
      <c r="M58" s="152"/>
      <c r="N58" s="152"/>
      <c r="O58" s="152"/>
      <c r="P58" s="152"/>
      <c r="Q58" s="153"/>
      <c r="R58" s="152"/>
      <c r="S58" s="152"/>
      <c r="T58" s="152"/>
      <c r="U58" s="209"/>
      <c r="V58" s="208"/>
      <c r="W58" s="179"/>
      <c r="X58" s="180"/>
      <c r="Y58" s="181"/>
      <c r="Z58" s="96"/>
      <c r="AA58" s="101"/>
      <c r="AB58" s="102"/>
      <c r="AC58" s="181"/>
      <c r="AD58" s="96"/>
      <c r="AE58" s="101"/>
      <c r="AF58" s="102"/>
      <c r="AH58" s="96"/>
      <c r="AI58" s="101"/>
      <c r="AJ58" s="102"/>
    </row>
    <row r="59" spans="1:36" ht="13.35" hidden="1" customHeight="1" outlineLevel="1" x14ac:dyDescent="0.3">
      <c r="A59" s="51" t="s">
        <v>112</v>
      </c>
      <c r="B59" s="11" t="s">
        <v>113</v>
      </c>
      <c r="D59" s="105" t="s">
        <v>49</v>
      </c>
      <c r="E59" s="106"/>
      <c r="F59" s="173">
        <v>8.5</v>
      </c>
      <c r="G59" s="108">
        <f t="shared" ref="G59:G60" si="45">E59-F59</f>
        <v>-8.5</v>
      </c>
      <c r="H59" s="130">
        <v>621400</v>
      </c>
      <c r="I59" s="110">
        <v>621400</v>
      </c>
      <c r="J59" s="121">
        <f t="shared" ref="J59:J67" si="46">I59-H59</f>
        <v>0</v>
      </c>
      <c r="K59" s="212">
        <v>580900</v>
      </c>
      <c r="L59" s="212">
        <f>13592</f>
        <v>13592</v>
      </c>
      <c r="M59" s="110">
        <f>K59+L59</f>
        <v>594492</v>
      </c>
      <c r="N59" s="110"/>
      <c r="O59" s="110"/>
      <c r="P59" s="110">
        <f>M59+N59+O59</f>
        <v>594492</v>
      </c>
      <c r="Q59" s="214">
        <v>607804.97</v>
      </c>
      <c r="R59" s="215">
        <f>'[1]Salary Projections'!T10-'[1]Operating Results'!Q59</f>
        <v>82308.879999999888</v>
      </c>
      <c r="S59" s="215">
        <f t="shared" ref="S59:S65" si="47">SUM(Q59:R59)</f>
        <v>690113.84999999986</v>
      </c>
      <c r="T59" s="136">
        <f t="shared" ref="T59:T66" si="48">IF(ISERR(Q59/S59),"-",Q59/S59)</f>
        <v>0.88073144742711673</v>
      </c>
      <c r="U59" s="191">
        <f t="shared" ref="U59:U67" si="49">S59-I59</f>
        <v>68713.84999999986</v>
      </c>
      <c r="V59" s="178">
        <f t="shared" ref="V59:V67" si="50">P59-S59</f>
        <v>-95621.84999999986</v>
      </c>
      <c r="W59" s="201">
        <f>IF(ISERR(V59/P59),"-",V59/P59)</f>
        <v>-0.16084631921035078</v>
      </c>
      <c r="X59" s="154"/>
      <c r="Y59" s="155"/>
      <c r="Z59" s="118">
        <f>'[1]2021-22'!C304</f>
        <v>349801.03</v>
      </c>
      <c r="AA59" s="223">
        <f>O59-Z59</f>
        <v>-349801.03</v>
      </c>
      <c r="AB59" s="201">
        <f>IF(ISERR(AA59/Z59),"-",AA59/Z59)</f>
        <v>-1</v>
      </c>
      <c r="AC59" s="155"/>
      <c r="AD59" s="118">
        <v>339976.84</v>
      </c>
      <c r="AE59" s="223">
        <f>S59-AD59</f>
        <v>350137.00999999983</v>
      </c>
      <c r="AF59" s="201">
        <f>IF(ISERR(AE59/AD59),"-",AE59/AD59)</f>
        <v>1.029884888629472</v>
      </c>
      <c r="AH59" s="118">
        <v>341631.36</v>
      </c>
      <c r="AI59" s="223">
        <f>S59-AH59</f>
        <v>348482.48999999987</v>
      </c>
      <c r="AJ59" s="201">
        <f t="shared" ref="AJ59" si="51">IF(ISERR(AI59/AH59),"-",AI59/AH59)</f>
        <v>1.0200541601333082</v>
      </c>
    </row>
    <row r="60" spans="1:36" ht="13.35" hidden="1" customHeight="1" outlineLevel="1" x14ac:dyDescent="0.3">
      <c r="A60" s="51"/>
      <c r="D60" s="105" t="s">
        <v>50</v>
      </c>
      <c r="E60" s="106"/>
      <c r="F60" s="173">
        <f>F59</f>
        <v>8.5</v>
      </c>
      <c r="G60" s="108">
        <f t="shared" si="45"/>
        <v>-8.5</v>
      </c>
      <c r="H60" s="130"/>
      <c r="I60" s="110"/>
      <c r="J60" s="121"/>
      <c r="K60" s="212"/>
      <c r="L60" s="212"/>
      <c r="M60" s="110"/>
      <c r="N60" s="110"/>
      <c r="O60" s="110"/>
      <c r="P60" s="131"/>
      <c r="Q60" s="214"/>
      <c r="R60" s="215"/>
      <c r="S60" s="215"/>
      <c r="T60" s="136"/>
      <c r="U60" s="191"/>
      <c r="V60" s="178"/>
      <c r="W60" s="201"/>
      <c r="X60" s="154"/>
      <c r="Y60" s="155"/>
      <c r="Z60" s="124"/>
      <c r="AA60" s="223"/>
      <c r="AB60" s="201"/>
      <c r="AC60" s="155"/>
      <c r="AD60" s="124"/>
      <c r="AE60" s="223"/>
      <c r="AF60" s="201"/>
      <c r="AH60" s="124"/>
      <c r="AI60" s="223"/>
      <c r="AJ60" s="201"/>
    </row>
    <row r="61" spans="1:36" ht="13.35" hidden="1" customHeight="1" outlineLevel="1" x14ac:dyDescent="0.3">
      <c r="A61" s="51" t="s">
        <v>114</v>
      </c>
      <c r="B61" s="11" t="s">
        <v>115</v>
      </c>
      <c r="E61" s="148"/>
      <c r="F61" s="149"/>
      <c r="G61" s="150"/>
      <c r="H61" s="130"/>
      <c r="I61" s="131"/>
      <c r="J61" s="132">
        <f t="shared" si="46"/>
        <v>0</v>
      </c>
      <c r="K61" s="213">
        <v>40700</v>
      </c>
      <c r="L61" s="213">
        <f>10000</f>
        <v>10000</v>
      </c>
      <c r="M61" s="131">
        <f>K61+L61</f>
        <v>50700</v>
      </c>
      <c r="N61" s="131"/>
      <c r="O61" s="131"/>
      <c r="P61" s="131">
        <f>M61+N61+O61</f>
        <v>50700</v>
      </c>
      <c r="Q61" s="224">
        <v>35101.81</v>
      </c>
      <c r="R61" s="225">
        <f>P61-Q61</f>
        <v>15598.190000000002</v>
      </c>
      <c r="S61" s="135">
        <f t="shared" si="47"/>
        <v>50700</v>
      </c>
      <c r="T61" s="136">
        <f t="shared" si="48"/>
        <v>0.69234339250493093</v>
      </c>
      <c r="U61" s="191">
        <f t="shared" si="49"/>
        <v>50700</v>
      </c>
      <c r="V61" s="137">
        <f t="shared" si="50"/>
        <v>0</v>
      </c>
      <c r="W61" s="201">
        <f t="shared" ref="W61:W68" si="52">IF(ISERR(V61/P61),"-",V61/P61)</f>
        <v>0</v>
      </c>
      <c r="X61" s="154"/>
      <c r="Y61" s="155"/>
      <c r="Z61" s="156">
        <f>SUM('[1]2021-22'!C305:C318)</f>
        <v>25194.140000000003</v>
      </c>
      <c r="AA61" s="200">
        <f>O61-Z61</f>
        <v>-25194.140000000003</v>
      </c>
      <c r="AB61" s="201">
        <f>IF(ISERR(AA61/Z61),"-",AA61/Z61)</f>
        <v>-1</v>
      </c>
      <c r="AC61" s="155"/>
      <c r="AD61" s="156">
        <v>29179.589999999997</v>
      </c>
      <c r="AE61" s="200">
        <f>S61-AD61</f>
        <v>21520.410000000003</v>
      </c>
      <c r="AF61" s="201">
        <f>IF(ISERR(AE61/AD61),"-",AE61/AD61)</f>
        <v>0.73751584583607943</v>
      </c>
      <c r="AH61" s="156">
        <v>30901.54</v>
      </c>
      <c r="AI61" s="200">
        <f>S61-AH61</f>
        <v>19798.46</v>
      </c>
      <c r="AJ61" s="201">
        <f t="shared" ref="AJ61:AJ65" si="53">IF(ISERR(AI61/AH61),"-",AI61/AH61)</f>
        <v>0.64069492976725428</v>
      </c>
    </row>
    <row r="62" spans="1:36" ht="13.35" hidden="1" customHeight="1" outlineLevel="1" x14ac:dyDescent="0.3">
      <c r="A62" s="51" t="s">
        <v>116</v>
      </c>
      <c r="B62" s="51" t="s">
        <v>117</v>
      </c>
      <c r="E62" s="172"/>
      <c r="F62" s="173"/>
      <c r="G62" s="174"/>
      <c r="H62" s="130">
        <v>56200</v>
      </c>
      <c r="I62" s="131">
        <v>56200</v>
      </c>
      <c r="J62" s="132">
        <f t="shared" si="46"/>
        <v>0</v>
      </c>
      <c r="K62" s="213">
        <v>56200</v>
      </c>
      <c r="L62" s="213"/>
      <c r="M62" s="131">
        <f t="shared" ref="M62:M67" si="54">K62+L62</f>
        <v>56200</v>
      </c>
      <c r="N62" s="131"/>
      <c r="O62" s="131"/>
      <c r="P62" s="131">
        <f t="shared" ref="P62:P67" si="55">M62+N62+O62</f>
        <v>56200</v>
      </c>
      <c r="Q62" s="224"/>
      <c r="R62" s="225">
        <f>56200-Q62</f>
        <v>56200</v>
      </c>
      <c r="S62" s="135">
        <f>SUM(Q62:R62)</f>
        <v>56200</v>
      </c>
      <c r="T62" s="136">
        <f>IF(ISERR(Q62/S62),"-",Q62/S62)</f>
        <v>0</v>
      </c>
      <c r="U62" s="191">
        <f t="shared" si="49"/>
        <v>0</v>
      </c>
      <c r="V62" s="137">
        <f t="shared" si="50"/>
        <v>0</v>
      </c>
      <c r="W62" s="115">
        <f t="shared" si="52"/>
        <v>0</v>
      </c>
      <c r="X62" s="154"/>
      <c r="Y62" s="155"/>
      <c r="Z62" s="156">
        <f>'[1]2021-22'!C382</f>
        <v>3406.6</v>
      </c>
      <c r="AA62" s="140"/>
      <c r="AB62" s="115">
        <f>IF(ISERR(AA62/Z62),"-",AA62/Z62)</f>
        <v>0</v>
      </c>
      <c r="AC62" s="155"/>
      <c r="AD62" s="156"/>
      <c r="AE62" s="140"/>
      <c r="AF62" s="115" t="str">
        <f>IF(ISERR(AE62/AD62),"-",AE62/AD62)</f>
        <v>-</v>
      </c>
      <c r="AH62" s="156"/>
      <c r="AI62" s="140"/>
      <c r="AJ62" s="115" t="str">
        <f t="shared" si="53"/>
        <v>-</v>
      </c>
    </row>
    <row r="63" spans="1:36" ht="13.35" hidden="1" customHeight="1" outlineLevel="1" x14ac:dyDescent="0.3">
      <c r="A63" s="51" t="s">
        <v>118</v>
      </c>
      <c r="B63" s="51" t="s">
        <v>119</v>
      </c>
      <c r="E63" s="172"/>
      <c r="F63" s="173"/>
      <c r="G63" s="174"/>
      <c r="H63" s="130">
        <v>193900</v>
      </c>
      <c r="I63" s="131">
        <v>193900</v>
      </c>
      <c r="J63" s="132">
        <f t="shared" si="46"/>
        <v>0</v>
      </c>
      <c r="K63" s="213">
        <v>194000</v>
      </c>
      <c r="L63" s="213"/>
      <c r="M63" s="131">
        <f t="shared" si="54"/>
        <v>194000</v>
      </c>
      <c r="N63" s="131"/>
      <c r="O63" s="131"/>
      <c r="P63" s="131">
        <f t="shared" si="55"/>
        <v>194000</v>
      </c>
      <c r="Q63" s="224">
        <v>82204.100000000006</v>
      </c>
      <c r="R63" s="225">
        <f>P63-Q63</f>
        <v>111795.9</v>
      </c>
      <c r="S63" s="135">
        <f>SUM(Q63:R63)</f>
        <v>194000</v>
      </c>
      <c r="T63" s="136">
        <f>IF(ISERR(Q63/S63),"-",Q63/S63)</f>
        <v>0.42373247422680416</v>
      </c>
      <c r="U63" s="191">
        <f t="shared" si="49"/>
        <v>100</v>
      </c>
      <c r="V63" s="137">
        <f t="shared" si="50"/>
        <v>0</v>
      </c>
      <c r="W63" s="115">
        <f t="shared" si="52"/>
        <v>0</v>
      </c>
      <c r="X63" s="154"/>
      <c r="Y63" s="155"/>
      <c r="Z63" s="156">
        <f>SUM('[1]2021-22'!C383:C386)</f>
        <v>79784.19</v>
      </c>
      <c r="AA63" s="140">
        <f>O63-Z63</f>
        <v>-79784.19</v>
      </c>
      <c r="AB63" s="115">
        <f>IF(ISERR(AA63/Z63),"-",AA63/Z63)</f>
        <v>-1</v>
      </c>
      <c r="AC63" s="155"/>
      <c r="AD63" s="156">
        <v>106653.3</v>
      </c>
      <c r="AE63" s="140">
        <f>S63-AD63</f>
        <v>87346.7</v>
      </c>
      <c r="AF63" s="115">
        <f>IF(ISERR(AE63/AD63),"-",AE63/AD63)</f>
        <v>0.81897794067319052</v>
      </c>
      <c r="AH63" s="156">
        <v>81931.09</v>
      </c>
      <c r="AI63" s="140">
        <f>S63-AH63</f>
        <v>112068.91</v>
      </c>
      <c r="AJ63" s="115">
        <f t="shared" si="53"/>
        <v>1.3678435133720301</v>
      </c>
    </row>
    <row r="64" spans="1:36" ht="13.35" hidden="1" customHeight="1" outlineLevel="1" x14ac:dyDescent="0.3">
      <c r="A64" s="51" t="s">
        <v>120</v>
      </c>
      <c r="B64" s="51" t="s">
        <v>121</v>
      </c>
      <c r="E64" s="172"/>
      <c r="F64" s="173"/>
      <c r="G64" s="174"/>
      <c r="H64" s="130"/>
      <c r="I64" s="131"/>
      <c r="J64" s="132">
        <f t="shared" si="46"/>
        <v>0</v>
      </c>
      <c r="K64" s="213"/>
      <c r="L64" s="213">
        <v>667895</v>
      </c>
      <c r="M64" s="131">
        <f t="shared" si="54"/>
        <v>667895</v>
      </c>
      <c r="N64" s="131"/>
      <c r="O64" s="131"/>
      <c r="P64" s="131">
        <f t="shared" si="55"/>
        <v>667895</v>
      </c>
      <c r="Q64" s="224">
        <v>587890.31999999995</v>
      </c>
      <c r="R64" s="225">
        <f>P64-Q64</f>
        <v>80004.680000000051</v>
      </c>
      <c r="S64" s="135">
        <f>SUM(Q64:R64)</f>
        <v>667895</v>
      </c>
      <c r="T64" s="136">
        <f>IF(ISERR(Q64/S64),"-",Q64/S64)</f>
        <v>0.88021368628302343</v>
      </c>
      <c r="U64" s="191">
        <f t="shared" si="49"/>
        <v>667895</v>
      </c>
      <c r="V64" s="137">
        <f t="shared" si="50"/>
        <v>0</v>
      </c>
      <c r="W64" s="115">
        <f t="shared" si="52"/>
        <v>0</v>
      </c>
      <c r="X64" s="154"/>
      <c r="Y64" s="155"/>
      <c r="Z64" s="156">
        <f>'[1]2021-22'!C551</f>
        <v>333057.08</v>
      </c>
      <c r="AA64" s="140">
        <f>O64-Z64</f>
        <v>-333057.08</v>
      </c>
      <c r="AB64" s="115">
        <f>IF(ISERR(AA64/Z64),"-",AA64/Z64)</f>
        <v>-1</v>
      </c>
      <c r="AC64" s="155"/>
      <c r="AD64" s="156">
        <v>504482.26</v>
      </c>
      <c r="AE64" s="140">
        <f>S64-AD64</f>
        <v>163412.74</v>
      </c>
      <c r="AF64" s="115">
        <f>IF(ISERR(AE64/AD64),"-",AE64/AD64)</f>
        <v>0.32392167764234164</v>
      </c>
      <c r="AH64" s="156">
        <v>349062.7</v>
      </c>
      <c r="AI64" s="140">
        <f>S64-AH64</f>
        <v>318832.3</v>
      </c>
      <c r="AJ64" s="115">
        <f t="shared" si="53"/>
        <v>0.91339550172504824</v>
      </c>
    </row>
    <row r="65" spans="1:36" ht="13.35" hidden="1" customHeight="1" outlineLevel="1" x14ac:dyDescent="0.3">
      <c r="A65" s="51" t="s">
        <v>122</v>
      </c>
      <c r="B65" s="51" t="s">
        <v>123</v>
      </c>
      <c r="E65" s="172"/>
      <c r="F65" s="173"/>
      <c r="G65" s="108"/>
      <c r="H65" s="130">
        <v>451000</v>
      </c>
      <c r="I65" s="131">
        <v>451000</v>
      </c>
      <c r="J65" s="132">
        <f t="shared" si="46"/>
        <v>0</v>
      </c>
      <c r="K65" s="213">
        <v>451000</v>
      </c>
      <c r="L65" s="213"/>
      <c r="M65" s="131">
        <f t="shared" si="54"/>
        <v>451000</v>
      </c>
      <c r="N65" s="131"/>
      <c r="O65" s="131"/>
      <c r="P65" s="131">
        <f t="shared" si="55"/>
        <v>451000</v>
      </c>
      <c r="Q65" s="153">
        <v>156652.43</v>
      </c>
      <c r="R65" s="152">
        <f>P65-Q65</f>
        <v>294347.57</v>
      </c>
      <c r="S65" s="135">
        <f t="shared" si="47"/>
        <v>451000</v>
      </c>
      <c r="T65" s="136">
        <f t="shared" si="48"/>
        <v>0.34734463414634142</v>
      </c>
      <c r="U65" s="191">
        <f t="shared" si="49"/>
        <v>0</v>
      </c>
      <c r="V65" s="137">
        <f t="shared" si="50"/>
        <v>0</v>
      </c>
      <c r="W65" s="201">
        <f t="shared" si="52"/>
        <v>0</v>
      </c>
      <c r="X65" s="154"/>
      <c r="Y65" s="155"/>
      <c r="Z65" s="156">
        <f>'[1]2021-22'!C575</f>
        <v>222068.81</v>
      </c>
      <c r="AA65" s="200">
        <f>O65-Z65</f>
        <v>-222068.81</v>
      </c>
      <c r="AB65" s="201">
        <f>IF(ISERR(AA65/Z65),"-",AA65/Z65)</f>
        <v>-1</v>
      </c>
      <c r="AC65" s="155"/>
      <c r="AD65" s="156">
        <v>268681.84999999998</v>
      </c>
      <c r="AE65" s="200">
        <f>S65-AD65</f>
        <v>182318.15000000002</v>
      </c>
      <c r="AF65" s="201">
        <f>IF(ISERR(AE65/AD65),"-",AE65/AD65)</f>
        <v>0.67856518778622388</v>
      </c>
      <c r="AH65" s="156">
        <v>263101.90999999997</v>
      </c>
      <c r="AI65" s="200">
        <f>S65-AH65</f>
        <v>187898.09000000003</v>
      </c>
      <c r="AJ65" s="201">
        <f t="shared" si="53"/>
        <v>0.71416467482125101</v>
      </c>
    </row>
    <row r="66" spans="1:36" ht="13.35" hidden="1" customHeight="1" outlineLevel="1" x14ac:dyDescent="0.3">
      <c r="A66" s="51" t="s">
        <v>124</v>
      </c>
      <c r="B66" s="51" t="s">
        <v>125</v>
      </c>
      <c r="E66" s="172"/>
      <c r="F66" s="173"/>
      <c r="G66" s="108"/>
      <c r="H66" s="130"/>
      <c r="I66" s="131">
        <v>95000</v>
      </c>
      <c r="J66" s="132">
        <f t="shared" si="46"/>
        <v>95000</v>
      </c>
      <c r="K66" s="213"/>
      <c r="L66" s="213">
        <f>1128+564+1974+2500+25600+4000+1000+11232.94+3468+439581+138670+113250+83000+48000+26041+5000+215400+19740+632.63+17000+15000+31863+32149+45970+40500+24111+14117+44608+13592+9000-17000-15000+10000+3034.5+95589+126000+28000+5000+289+2700+51040+5900+25000+867+6666+62397+12000+12000+4413.2+2023+2000+5000+900</f>
        <v>1857510.2699999998</v>
      </c>
      <c r="M66" s="131">
        <f t="shared" si="54"/>
        <v>1857510.2699999998</v>
      </c>
      <c r="N66" s="131"/>
      <c r="O66" s="131">
        <f>95000+10240</f>
        <v>105240</v>
      </c>
      <c r="P66" s="131">
        <f t="shared" si="55"/>
        <v>1962750.2699999998</v>
      </c>
      <c r="Q66" s="153">
        <f>484612.82+85631.67+13447.31+147706.32+2041.78+32774.9+45696.74+84971.12+12000+13141.89+96883.77+9439.53+2018.87+14596.66+5520.75+25447.2+11359.9+148141.87+50059.44</f>
        <v>1285492.54</v>
      </c>
      <c r="R66" s="152">
        <f>P66-Q66</f>
        <v>677257.72999999975</v>
      </c>
      <c r="S66" s="135">
        <f t="shared" ref="S66" si="56">SUM(Q66:R66)</f>
        <v>1962750.2699999998</v>
      </c>
      <c r="T66" s="136">
        <f t="shared" si="48"/>
        <v>0.65494452332950137</v>
      </c>
      <c r="U66" s="191">
        <f t="shared" si="49"/>
        <v>1867750.2699999998</v>
      </c>
      <c r="V66" s="137">
        <f t="shared" si="50"/>
        <v>0</v>
      </c>
      <c r="W66" s="201">
        <f t="shared" si="52"/>
        <v>0</v>
      </c>
      <c r="X66" s="154"/>
      <c r="Y66" s="155"/>
      <c r="Z66" s="156">
        <f>'[1]2021-22'!C373+'[1]2021-22'!C394+'[1]2021-22'!C409+'[1]2021-22'!C435+'[1]2021-22'!C443+'[1]2021-22'!C448+'[1]2021-22'!C463+'[1]2021-22'!C477+'[1]2021-22'!C489+'[1]2021-22'!C499+'[1]2021-22'!C505+'[1]2021-22'!C521+'[1]2021-22'!C530+'[1]2021-22'!C594+'[1]2021-22'!C599+'[1]2021-22'!C610+'[1]2021-22'!C621+'[1]2021-22'!C626+'[1]2021-22'!C632+'[1]2021-22'!C643</f>
        <v>826832.1</v>
      </c>
      <c r="AA66" s="200"/>
      <c r="AB66" s="201"/>
      <c r="AC66" s="155"/>
      <c r="AD66" s="156"/>
      <c r="AE66" s="200"/>
      <c r="AF66" s="201"/>
      <c r="AH66" s="156"/>
      <c r="AI66" s="200"/>
      <c r="AJ66" s="201"/>
    </row>
    <row r="67" spans="1:36" ht="13.35" hidden="1" customHeight="1" outlineLevel="1" x14ac:dyDescent="0.3">
      <c r="A67" s="51" t="s">
        <v>126</v>
      </c>
      <c r="B67" s="11" t="s">
        <v>127</v>
      </c>
      <c r="E67" s="221"/>
      <c r="F67" s="173"/>
      <c r="G67" s="108"/>
      <c r="H67" s="130">
        <v>225300</v>
      </c>
      <c r="I67" s="131">
        <v>225300</v>
      </c>
      <c r="J67" s="132">
        <f t="shared" si="46"/>
        <v>0</v>
      </c>
      <c r="K67" s="226">
        <v>225300</v>
      </c>
      <c r="L67" s="152"/>
      <c r="M67" s="131">
        <f t="shared" si="54"/>
        <v>225300</v>
      </c>
      <c r="N67" s="131"/>
      <c r="O67" s="131"/>
      <c r="P67" s="131">
        <f t="shared" si="55"/>
        <v>225300</v>
      </c>
      <c r="Q67" s="227">
        <v>0</v>
      </c>
      <c r="R67" s="226">
        <v>0</v>
      </c>
      <c r="S67" s="135">
        <f>SUM(Q67:R67)</f>
        <v>0</v>
      </c>
      <c r="T67" s="136" t="str">
        <f>IF(ISERR(Q67/S67),"-",Q67/S67)</f>
        <v>-</v>
      </c>
      <c r="U67" s="191">
        <f t="shared" si="49"/>
        <v>-225300</v>
      </c>
      <c r="V67" s="137">
        <f t="shared" si="50"/>
        <v>225300</v>
      </c>
      <c r="W67" s="115">
        <f t="shared" si="52"/>
        <v>1</v>
      </c>
      <c r="X67" s="154"/>
      <c r="Y67" s="155"/>
      <c r="Z67" s="156">
        <f>'[1]2021-22'!C648</f>
        <v>0</v>
      </c>
      <c r="AA67" s="140">
        <f>O67-Z67</f>
        <v>0</v>
      </c>
      <c r="AB67" s="115" t="str">
        <f>IF(ISERR(AA67/Z67),"-",AA67/Z67)</f>
        <v>-</v>
      </c>
      <c r="AC67" s="155"/>
      <c r="AD67" s="156">
        <v>0</v>
      </c>
      <c r="AE67" s="140">
        <f>S67-AD67</f>
        <v>0</v>
      </c>
      <c r="AF67" s="115" t="str">
        <f>IF(ISERR(AE67/AD67),"-",AE67/AD67)</f>
        <v>-</v>
      </c>
      <c r="AH67" s="156">
        <v>100</v>
      </c>
      <c r="AI67" s="140">
        <f>S67-AH67</f>
        <v>-100</v>
      </c>
      <c r="AJ67" s="115">
        <f t="shared" ref="AJ67:AJ68" si="57">IF(ISERR(AI67/AH67),"-",AI67/AH67)</f>
        <v>-1</v>
      </c>
    </row>
    <row r="68" spans="1:36" ht="13.35" customHeight="1" collapsed="1" x14ac:dyDescent="0.3">
      <c r="A68" s="1" t="s">
        <v>128</v>
      </c>
      <c r="E68" s="203">
        <f>E60</f>
        <v>0</v>
      </c>
      <c r="F68" s="159">
        <f t="shared" ref="F68:G68" si="58">F60</f>
        <v>8.5</v>
      </c>
      <c r="G68" s="160">
        <f t="shared" si="58"/>
        <v>-8.5</v>
      </c>
      <c r="H68" s="163">
        <f>SUM(H59:H67)</f>
        <v>1547800</v>
      </c>
      <c r="I68" s="163">
        <f t="shared" ref="I68:S68" si="59">SUM(I59:I67)</f>
        <v>1642800</v>
      </c>
      <c r="J68" s="204">
        <f t="shared" si="59"/>
        <v>95000</v>
      </c>
      <c r="K68" s="163">
        <f t="shared" si="59"/>
        <v>1548100</v>
      </c>
      <c r="L68" s="163">
        <f t="shared" si="59"/>
        <v>2548997.2699999996</v>
      </c>
      <c r="M68" s="163">
        <f t="shared" si="59"/>
        <v>4097097.2699999996</v>
      </c>
      <c r="N68" s="163">
        <f t="shared" si="59"/>
        <v>0</v>
      </c>
      <c r="O68" s="163">
        <f t="shared" si="59"/>
        <v>105240</v>
      </c>
      <c r="P68" s="163">
        <f t="shared" si="59"/>
        <v>4202337.2699999996</v>
      </c>
      <c r="Q68" s="165">
        <f t="shared" si="59"/>
        <v>2755146.17</v>
      </c>
      <c r="R68" s="163">
        <f t="shared" si="59"/>
        <v>1317512.9499999997</v>
      </c>
      <c r="S68" s="163">
        <f t="shared" si="59"/>
        <v>4072659.1199999992</v>
      </c>
      <c r="T68" s="166">
        <f>IF(ISERR(Q68/S68),"-",Q68/S68)</f>
        <v>0.67649810328343918</v>
      </c>
      <c r="U68" s="205">
        <f>SUM(U59:U67)</f>
        <v>2429859.1199999996</v>
      </c>
      <c r="V68" s="167">
        <f>SUM(V59:V67)</f>
        <v>129678.15000000014</v>
      </c>
      <c r="W68" s="168">
        <f t="shared" si="52"/>
        <v>3.0858577422083058E-2</v>
      </c>
      <c r="X68" s="169"/>
      <c r="Y68" s="155"/>
      <c r="Z68" s="170">
        <f>SUM(Z59:Z67)</f>
        <v>1840143.9500000002</v>
      </c>
      <c r="AA68" s="206">
        <f>SUM(AA59:AA67)</f>
        <v>-1009905.25</v>
      </c>
      <c r="AB68" s="168">
        <f>IF(ISERR(AA68/Z68),"-",AA68/Z68)</f>
        <v>-0.548818612804721</v>
      </c>
      <c r="AC68" s="155"/>
      <c r="AD68" s="170">
        <f>SUM(AD59:AD67)</f>
        <v>1248973.8399999999</v>
      </c>
      <c r="AE68" s="206">
        <f>SUM(AE59:AE67)</f>
        <v>804735.00999999989</v>
      </c>
      <c r="AF68" s="168">
        <f>IF(ISERR(AE68/AD68),"-",AE68/AD68)</f>
        <v>0.64431694582169952</v>
      </c>
      <c r="AH68" s="170">
        <v>1066728.5999999999</v>
      </c>
      <c r="AI68" s="206">
        <f>SUM(AI59:AI67)</f>
        <v>986980.25</v>
      </c>
      <c r="AJ68" s="168">
        <f t="shared" si="57"/>
        <v>0.92524026261225223</v>
      </c>
    </row>
    <row r="69" spans="1:36" ht="13.35" customHeight="1" x14ac:dyDescent="0.3">
      <c r="A69" s="1"/>
      <c r="E69" s="172"/>
      <c r="F69" s="173"/>
      <c r="G69" s="174"/>
      <c r="H69" s="172"/>
      <c r="I69" s="175"/>
      <c r="J69" s="175"/>
      <c r="K69" s="175"/>
      <c r="L69" s="175"/>
      <c r="M69" s="175"/>
      <c r="N69" s="175"/>
      <c r="O69" s="175"/>
      <c r="P69" s="175"/>
      <c r="Q69" s="176"/>
      <c r="R69" s="175"/>
      <c r="S69" s="175"/>
      <c r="T69" s="175"/>
      <c r="U69" s="228"/>
      <c r="V69" s="178"/>
      <c r="W69" s="179"/>
      <c r="X69" s="180"/>
      <c r="Y69" s="181"/>
      <c r="Z69" s="96"/>
      <c r="AA69" s="101"/>
      <c r="AB69" s="102"/>
      <c r="AC69" s="181"/>
      <c r="AD69" s="96"/>
      <c r="AE69" s="101"/>
      <c r="AF69" s="102"/>
      <c r="AH69" s="96"/>
      <c r="AI69" s="101"/>
      <c r="AJ69" s="102"/>
    </row>
    <row r="70" spans="1:36" ht="13.35" customHeight="1" x14ac:dyDescent="0.3">
      <c r="A70" s="1"/>
      <c r="E70" s="172"/>
      <c r="F70" s="173"/>
      <c r="G70" s="174"/>
      <c r="H70" s="172"/>
      <c r="I70" s="175"/>
      <c r="J70" s="175"/>
      <c r="K70" s="175"/>
      <c r="L70" s="175"/>
      <c r="M70" s="175"/>
      <c r="N70" s="175"/>
      <c r="O70" s="175"/>
      <c r="P70" s="175"/>
      <c r="Q70" s="176"/>
      <c r="R70" s="175"/>
      <c r="S70" s="175"/>
      <c r="T70" s="175"/>
      <c r="U70" s="228"/>
      <c r="V70" s="178"/>
      <c r="W70" s="179"/>
      <c r="X70" s="180"/>
      <c r="Y70" s="181"/>
      <c r="Z70" s="96"/>
      <c r="AA70" s="101"/>
      <c r="AB70" s="102"/>
      <c r="AC70" s="181"/>
      <c r="AD70" s="96"/>
      <c r="AE70" s="101"/>
      <c r="AF70" s="102"/>
      <c r="AH70" s="96"/>
      <c r="AI70" s="101"/>
      <c r="AJ70" s="102"/>
    </row>
    <row r="71" spans="1:36" ht="13.35" hidden="1" customHeight="1" outlineLevel="1" x14ac:dyDescent="0.3">
      <c r="A71" s="103" t="s">
        <v>129</v>
      </c>
      <c r="B71" s="10"/>
      <c r="E71" s="172"/>
      <c r="F71" s="173"/>
      <c r="G71" s="174"/>
      <c r="H71" s="172"/>
      <c r="I71" s="152"/>
      <c r="J71" s="152"/>
      <c r="K71" s="152"/>
      <c r="L71" s="152"/>
      <c r="M71" s="152"/>
      <c r="N71" s="152"/>
      <c r="O71" s="152"/>
      <c r="P71" s="152"/>
      <c r="Q71" s="153"/>
      <c r="R71" s="152"/>
      <c r="S71" s="152"/>
      <c r="T71" s="152"/>
      <c r="U71" s="209"/>
      <c r="V71" s="208"/>
      <c r="W71" s="179"/>
      <c r="X71" s="180"/>
      <c r="Y71" s="181"/>
      <c r="Z71" s="96"/>
      <c r="AA71" s="101"/>
      <c r="AB71" s="102"/>
      <c r="AC71" s="181"/>
      <c r="AD71" s="96"/>
      <c r="AE71" s="101"/>
      <c r="AF71" s="102"/>
      <c r="AH71" s="96"/>
      <c r="AI71" s="101"/>
      <c r="AJ71" s="102"/>
    </row>
    <row r="72" spans="1:36" ht="13.35" hidden="1" customHeight="1" outlineLevel="1" x14ac:dyDescent="0.3">
      <c r="A72" s="51" t="s">
        <v>130</v>
      </c>
      <c r="B72" s="11" t="s">
        <v>131</v>
      </c>
      <c r="D72" s="105" t="s">
        <v>49</v>
      </c>
      <c r="E72" s="106"/>
      <c r="F72" s="149">
        <v>0</v>
      </c>
      <c r="G72" s="108"/>
      <c r="H72" s="210"/>
      <c r="I72" s="110"/>
      <c r="J72" s="121">
        <f>I72-H72</f>
        <v>0</v>
      </c>
      <c r="K72" s="212"/>
      <c r="L72" s="212"/>
      <c r="M72" s="110">
        <f>K72+L72</f>
        <v>0</v>
      </c>
      <c r="N72" s="110"/>
      <c r="O72" s="110"/>
      <c r="P72" s="110">
        <f>M72+N72+O72</f>
        <v>0</v>
      </c>
      <c r="Q72" s="214">
        <f>978991.68+77872.83</f>
        <v>1056864.51</v>
      </c>
      <c r="R72" s="225">
        <f>P72-Q72</f>
        <v>-1056864.51</v>
      </c>
      <c r="S72" s="215">
        <f>SUM(Q72:R72)</f>
        <v>0</v>
      </c>
      <c r="T72" s="136" t="str">
        <f>IF(ISERR(Q72/S72),"-",Q72/S72)</f>
        <v>-</v>
      </c>
      <c r="U72" s="191">
        <f>S72-I72</f>
        <v>0</v>
      </c>
      <c r="V72" s="178">
        <f t="shared" ref="V72:V74" si="60">P72-S72</f>
        <v>0</v>
      </c>
      <c r="W72" s="201" t="str">
        <f>IF(ISERR(V72/P72),"-",V72/P72)</f>
        <v>-</v>
      </c>
      <c r="X72" s="154"/>
      <c r="Y72" s="155"/>
      <c r="Z72" s="118">
        <f>'[1]2021-22'!C333</f>
        <v>0</v>
      </c>
      <c r="AA72" s="200">
        <f>O72-Z72</f>
        <v>0</v>
      </c>
      <c r="AB72" s="201" t="str">
        <f>IF(ISERR(AA72/Z72),"-",AA72/Z72)</f>
        <v>-</v>
      </c>
      <c r="AC72" s="155"/>
      <c r="AD72" s="118">
        <v>0</v>
      </c>
      <c r="AE72" s="200">
        <f>S72-AD72</f>
        <v>0</v>
      </c>
      <c r="AF72" s="201" t="str">
        <f>IF(ISERR(AE72/AD72),"-",AE72/AD72)</f>
        <v>-</v>
      </c>
      <c r="AH72" s="118">
        <v>0</v>
      </c>
      <c r="AI72" s="200">
        <f>S72-AH72</f>
        <v>0</v>
      </c>
      <c r="AJ72" s="201" t="str">
        <f t="shared" ref="AJ72:AJ74" si="61">IF(ISERR(AI72/AH72),"-",AI72/AH72)</f>
        <v>-</v>
      </c>
    </row>
    <row r="73" spans="1:36" ht="13.35" hidden="1" customHeight="1" outlineLevel="1" x14ac:dyDescent="0.3">
      <c r="A73" s="51"/>
      <c r="D73" s="105" t="s">
        <v>50</v>
      </c>
      <c r="E73" s="106"/>
      <c r="F73" s="149">
        <f>F72</f>
        <v>0</v>
      </c>
      <c r="G73" s="108"/>
      <c r="H73" s="210"/>
      <c r="I73" s="110"/>
      <c r="J73" s="121"/>
      <c r="K73" s="212"/>
      <c r="L73" s="212"/>
      <c r="M73" s="110"/>
      <c r="N73" s="110"/>
      <c r="O73" s="110"/>
      <c r="P73" s="110"/>
      <c r="Q73" s="214"/>
      <c r="R73" s="225"/>
      <c r="S73" s="215"/>
      <c r="T73" s="136"/>
      <c r="U73" s="191"/>
      <c r="V73" s="178"/>
      <c r="W73" s="201"/>
      <c r="X73" s="154"/>
      <c r="Y73" s="155"/>
      <c r="Z73" s="124"/>
      <c r="AA73" s="200"/>
      <c r="AB73" s="201"/>
      <c r="AC73" s="155"/>
      <c r="AD73" s="124"/>
      <c r="AE73" s="200"/>
      <c r="AF73" s="201"/>
      <c r="AH73" s="124"/>
      <c r="AI73" s="200"/>
      <c r="AJ73" s="201"/>
    </row>
    <row r="74" spans="1:36" ht="13.35" hidden="1" customHeight="1" outlineLevel="1" x14ac:dyDescent="0.3">
      <c r="A74" s="51" t="s">
        <v>132</v>
      </c>
      <c r="B74" s="11" t="s">
        <v>69</v>
      </c>
      <c r="E74" s="172"/>
      <c r="F74" s="173"/>
      <c r="G74" s="174"/>
      <c r="H74" s="156">
        <v>494300</v>
      </c>
      <c r="I74" s="131">
        <v>494300</v>
      </c>
      <c r="J74" s="132">
        <f>I74-H74</f>
        <v>0</v>
      </c>
      <c r="K74" s="213">
        <v>494200</v>
      </c>
      <c r="L74" s="213">
        <f>45725+45725</f>
        <v>91450</v>
      </c>
      <c r="M74" s="122">
        <f>K74+L74</f>
        <v>585650</v>
      </c>
      <c r="N74" s="122"/>
      <c r="O74" s="122"/>
      <c r="P74" s="122">
        <f>M74+N74+O74</f>
        <v>585650</v>
      </c>
      <c r="Q74" s="224">
        <f>26993.18+66579.4</f>
        <v>93572.579999999987</v>
      </c>
      <c r="R74" s="225">
        <f>P74-Q74</f>
        <v>492077.42000000004</v>
      </c>
      <c r="S74" s="135">
        <f>SUM(Q74:R74)</f>
        <v>585650</v>
      </c>
      <c r="T74" s="136">
        <f>IF(ISERR(Q74/S74),"-",Q74/S74)</f>
        <v>0.15977559976094935</v>
      </c>
      <c r="U74" s="191">
        <f>S74-I74</f>
        <v>91350</v>
      </c>
      <c r="V74" s="137">
        <f t="shared" si="60"/>
        <v>0</v>
      </c>
      <c r="W74" s="201">
        <f>IF(ISERR(V74/P74),"-",V74/P74)</f>
        <v>0</v>
      </c>
      <c r="X74" s="154"/>
      <c r="Y74" s="155"/>
      <c r="Z74" s="156">
        <f>SUM('[1]2021-22'!C334:C348)+'[1]2021-22'!C366</f>
        <v>1336892.6100000001</v>
      </c>
      <c r="AA74" s="200">
        <f>O74-Z74</f>
        <v>-1336892.6100000001</v>
      </c>
      <c r="AB74" s="201">
        <f>IF(ISERR(AA74/Z74),"-",AA74/Z74)</f>
        <v>-1</v>
      </c>
      <c r="AC74" s="155"/>
      <c r="AD74" s="156">
        <v>336287.73</v>
      </c>
      <c r="AE74" s="200">
        <f>S74-AD74</f>
        <v>249362.27000000002</v>
      </c>
      <c r="AF74" s="201">
        <f>IF(ISERR(AE74/AD74),"-",AE74/AD74)</f>
        <v>0.7415146249909268</v>
      </c>
      <c r="AH74" s="156">
        <v>379643.77</v>
      </c>
      <c r="AI74" s="200">
        <f>S74-AH74</f>
        <v>206006.22999999998</v>
      </c>
      <c r="AJ74" s="201">
        <f t="shared" si="61"/>
        <v>0.5426303452839486</v>
      </c>
    </row>
    <row r="75" spans="1:36" ht="13.35" customHeight="1" collapsed="1" x14ac:dyDescent="0.3">
      <c r="A75" s="1" t="s">
        <v>133</v>
      </c>
      <c r="E75" s="203">
        <f t="shared" ref="E75:G75" si="62">SUM(E72:E74)</f>
        <v>0</v>
      </c>
      <c r="F75" s="159">
        <f t="shared" si="62"/>
        <v>0</v>
      </c>
      <c r="G75" s="160">
        <f t="shared" si="62"/>
        <v>0</v>
      </c>
      <c r="H75" s="163">
        <f>SUM(H72:H74)</f>
        <v>494300</v>
      </c>
      <c r="I75" s="163">
        <f t="shared" ref="I75:S75" si="63">SUM(I72:I74)</f>
        <v>494300</v>
      </c>
      <c r="J75" s="204">
        <f t="shared" si="63"/>
        <v>0</v>
      </c>
      <c r="K75" s="163">
        <f t="shared" si="63"/>
        <v>494200</v>
      </c>
      <c r="L75" s="163">
        <f t="shared" si="63"/>
        <v>91450</v>
      </c>
      <c r="M75" s="163">
        <f t="shared" si="63"/>
        <v>585650</v>
      </c>
      <c r="N75" s="163">
        <f t="shared" si="63"/>
        <v>0</v>
      </c>
      <c r="O75" s="163">
        <f t="shared" si="63"/>
        <v>0</v>
      </c>
      <c r="P75" s="163">
        <f t="shared" si="63"/>
        <v>585650</v>
      </c>
      <c r="Q75" s="165">
        <f t="shared" si="63"/>
        <v>1150437.0900000001</v>
      </c>
      <c r="R75" s="229">
        <f t="shared" si="63"/>
        <v>-564787.09</v>
      </c>
      <c r="S75" s="163">
        <f t="shared" si="63"/>
        <v>585650</v>
      </c>
      <c r="T75" s="166">
        <f>IF(ISERR(Q75/S75),"-",Q75/S75)</f>
        <v>1.9643764876632803</v>
      </c>
      <c r="U75" s="205">
        <f>SUM(U72:U74)</f>
        <v>91350</v>
      </c>
      <c r="V75" s="167">
        <f>SUM(V72:V74)</f>
        <v>0</v>
      </c>
      <c r="W75" s="168">
        <f>IF(ISERR(V75/P75),"-",V75/P75)</f>
        <v>0</v>
      </c>
      <c r="X75" s="169"/>
      <c r="Y75" s="155"/>
      <c r="Z75" s="170">
        <f>SUM(Z72:Z74)</f>
        <v>1336892.6100000001</v>
      </c>
      <c r="AA75" s="206">
        <f>SUM(AA72:AA74)</f>
        <v>-1336892.6100000001</v>
      </c>
      <c r="AB75" s="168">
        <f>IF(ISERR(AA75/Z75),"-",AA75/Z75)</f>
        <v>-1</v>
      </c>
      <c r="AC75" s="155"/>
      <c r="AD75" s="170">
        <f>SUM(AD72:AD74)</f>
        <v>336287.73</v>
      </c>
      <c r="AE75" s="206">
        <f>SUM(AE72:AE74)</f>
        <v>249362.27000000002</v>
      </c>
      <c r="AF75" s="168">
        <f>IF(ISERR(AE75/AD75),"-",AE75/AD75)</f>
        <v>0.7415146249909268</v>
      </c>
      <c r="AH75" s="170">
        <v>379643.77</v>
      </c>
      <c r="AI75" s="206">
        <f>SUM(AI72:AI74)</f>
        <v>206006.22999999998</v>
      </c>
      <c r="AJ75" s="168">
        <f>IF(ISERR(AI75/AH75),"-",AI75/AH75)</f>
        <v>0.5426303452839486</v>
      </c>
    </row>
    <row r="76" spans="1:36" ht="13.35" customHeight="1" x14ac:dyDescent="0.3">
      <c r="A76" s="1"/>
      <c r="E76" s="172"/>
      <c r="F76" s="173"/>
      <c r="G76" s="174"/>
      <c r="H76" s="172"/>
      <c r="I76" s="152"/>
      <c r="J76" s="152"/>
      <c r="K76" s="152"/>
      <c r="L76" s="152"/>
      <c r="M76" s="152"/>
      <c r="N76" s="152"/>
      <c r="O76" s="152"/>
      <c r="P76" s="152"/>
      <c r="Q76" s="153"/>
      <c r="R76" s="152"/>
      <c r="S76" s="152"/>
      <c r="T76" s="152"/>
      <c r="U76" s="209"/>
      <c r="V76" s="208"/>
      <c r="W76" s="179"/>
      <c r="X76" s="180"/>
      <c r="Y76" s="181"/>
      <c r="Z76" s="96"/>
      <c r="AA76" s="101"/>
      <c r="AB76" s="102"/>
      <c r="AC76" s="181"/>
      <c r="AD76" s="96"/>
      <c r="AE76" s="101"/>
      <c r="AF76" s="102"/>
      <c r="AH76" s="96"/>
      <c r="AI76" s="101"/>
      <c r="AJ76" s="102"/>
    </row>
    <row r="77" spans="1:36" ht="13.35" customHeight="1" x14ac:dyDescent="0.3">
      <c r="A77" s="10"/>
      <c r="B77" s="10"/>
      <c r="E77" s="172"/>
      <c r="F77" s="173"/>
      <c r="G77" s="174"/>
      <c r="H77" s="172"/>
      <c r="Q77" s="96"/>
      <c r="U77" s="100"/>
      <c r="V77" s="187"/>
      <c r="W77" s="188"/>
      <c r="X77" s="154"/>
      <c r="Y77" s="155"/>
      <c r="Z77" s="96"/>
      <c r="AA77" s="101"/>
      <c r="AB77" s="102"/>
      <c r="AC77" s="155"/>
      <c r="AD77" s="96"/>
      <c r="AE77" s="101"/>
      <c r="AF77" s="102"/>
      <c r="AH77" s="96"/>
      <c r="AI77" s="101"/>
      <c r="AJ77" s="102"/>
    </row>
    <row r="78" spans="1:36" ht="13.35" hidden="1" customHeight="1" outlineLevel="1" x14ac:dyDescent="0.3">
      <c r="A78" s="103" t="s">
        <v>134</v>
      </c>
      <c r="B78" s="10"/>
      <c r="E78" s="172"/>
      <c r="F78" s="173"/>
      <c r="G78" s="174"/>
      <c r="H78" s="172"/>
      <c r="Q78" s="96"/>
      <c r="U78" s="100"/>
      <c r="V78" s="187"/>
      <c r="W78" s="188"/>
      <c r="X78" s="154"/>
      <c r="Y78" s="155"/>
      <c r="Z78" s="96"/>
      <c r="AA78" s="101"/>
      <c r="AB78" s="102"/>
      <c r="AC78" s="155"/>
      <c r="AD78" s="96"/>
      <c r="AE78" s="101"/>
      <c r="AF78" s="102"/>
      <c r="AH78" s="96"/>
      <c r="AI78" s="101"/>
      <c r="AJ78" s="102"/>
    </row>
    <row r="79" spans="1:36" s="141" customFormat="1" ht="13.35" hidden="1" customHeight="1" outlineLevel="1" x14ac:dyDescent="0.25">
      <c r="A79" s="104" t="s">
        <v>135</v>
      </c>
      <c r="B79" s="104" t="s">
        <v>136</v>
      </c>
      <c r="D79" s="105" t="s">
        <v>49</v>
      </c>
      <c r="E79" s="106"/>
      <c r="F79" s="143">
        <f>181.85+5+1</f>
        <v>187.85</v>
      </c>
      <c r="G79" s="108">
        <f t="shared" ref="G79:G80" si="64">E79-F79</f>
        <v>-187.85</v>
      </c>
      <c r="H79" s="210">
        <f>7408400+2160600</f>
        <v>9569000</v>
      </c>
      <c r="I79" s="110">
        <v>9569000</v>
      </c>
      <c r="J79" s="121">
        <f>I79-H79</f>
        <v>0</v>
      </c>
      <c r="K79" s="230">
        <f>7408400+2160800</f>
        <v>9569200</v>
      </c>
      <c r="L79" s="230"/>
      <c r="M79" s="110">
        <f>K79+L79</f>
        <v>9569200</v>
      </c>
      <c r="N79" s="110"/>
      <c r="O79" s="110"/>
      <c r="P79" s="110">
        <f>M79+N79+O79</f>
        <v>9569200</v>
      </c>
      <c r="Q79" s="231">
        <v>10099261.060000001</v>
      </c>
      <c r="R79" s="232">
        <f>'[1]Salary Projections'!W10-'[1]Operating Results'!Q79</f>
        <v>1299945.3540000003</v>
      </c>
      <c r="S79" s="232">
        <f>SUM(Q79:R79)</f>
        <v>11399206.414000001</v>
      </c>
      <c r="T79" s="113">
        <f t="shared" ref="T79:T103" si="65">IF(ISERR(Q79/S79),"-",Q79/S79)</f>
        <v>0.88596176726798592</v>
      </c>
      <c r="U79" s="191">
        <f t="shared" ref="U79:U103" si="66">S79-I79</f>
        <v>1830206.4140000008</v>
      </c>
      <c r="V79" s="233">
        <f t="shared" ref="V79:V103" si="67">P79-S79</f>
        <v>-1830006.4140000008</v>
      </c>
      <c r="W79" s="115">
        <f>IF(ISERR(V79/P79),"-",V79/P79)</f>
        <v>-0.1912392273126281</v>
      </c>
      <c r="X79" s="146"/>
      <c r="Y79" s="147"/>
      <c r="Z79" s="118">
        <f>'[1]2021-22'!C651</f>
        <v>6453108.25</v>
      </c>
      <c r="AA79" s="234">
        <f>O79-Z79</f>
        <v>-6453108.25</v>
      </c>
      <c r="AB79" s="115">
        <f>IF(ISERR(AA79/Z79),"-",AA79/Z79)</f>
        <v>-1</v>
      </c>
      <c r="AC79" s="147"/>
      <c r="AD79" s="118">
        <v>7429022.5599999996</v>
      </c>
      <c r="AE79" s="234">
        <f>S79-AD79</f>
        <v>3970183.8540000012</v>
      </c>
      <c r="AF79" s="115">
        <f>IF(ISERR(AE79/AD79),"-",AE79/AD79)</f>
        <v>0.53441537186555554</v>
      </c>
      <c r="AH79" s="118">
        <v>7469774.3499999996</v>
      </c>
      <c r="AI79" s="234">
        <f>S79-AH79</f>
        <v>3929432.0640000012</v>
      </c>
      <c r="AJ79" s="115">
        <f>IF(ISERR(AI79/AH79),"-",AI79/AH79)</f>
        <v>0.52604427923582475</v>
      </c>
    </row>
    <row r="80" spans="1:36" s="141" customFormat="1" ht="13.35" hidden="1" customHeight="1" outlineLevel="1" x14ac:dyDescent="0.25">
      <c r="A80" s="104"/>
      <c r="B80" s="104"/>
      <c r="D80" s="105" t="s">
        <v>50</v>
      </c>
      <c r="E80" s="106"/>
      <c r="F80" s="143">
        <f>F79+0.06</f>
        <v>187.91</v>
      </c>
      <c r="G80" s="108">
        <f t="shared" si="64"/>
        <v>-187.91</v>
      </c>
      <c r="H80" s="210"/>
      <c r="I80" s="110"/>
      <c r="J80" s="121"/>
      <c r="K80" s="230"/>
      <c r="L80" s="230"/>
      <c r="M80" s="110"/>
      <c r="N80" s="110"/>
      <c r="O80" s="110"/>
      <c r="P80" s="122"/>
      <c r="Q80" s="231"/>
      <c r="R80" s="232"/>
      <c r="S80" s="232"/>
      <c r="T80" s="113"/>
      <c r="U80" s="191"/>
      <c r="V80" s="233"/>
      <c r="W80" s="115"/>
      <c r="X80" s="146"/>
      <c r="Y80" s="147"/>
      <c r="Z80" s="124"/>
      <c r="AA80" s="234"/>
      <c r="AB80" s="115"/>
      <c r="AC80" s="147"/>
      <c r="AD80" s="124"/>
      <c r="AE80" s="234"/>
      <c r="AF80" s="115"/>
      <c r="AH80" s="124"/>
      <c r="AI80" s="234"/>
      <c r="AJ80" s="115"/>
    </row>
    <row r="81" spans="1:36" s="141" customFormat="1" ht="13.35" hidden="1" customHeight="1" outlineLevel="1" x14ac:dyDescent="0.3">
      <c r="A81" s="104" t="s">
        <v>137</v>
      </c>
      <c r="B81" s="104" t="s">
        <v>138</v>
      </c>
      <c r="D81" s="105"/>
      <c r="E81" s="142"/>
      <c r="F81" s="143"/>
      <c r="G81" s="235"/>
      <c r="H81" s="130">
        <v>9000</v>
      </c>
      <c r="I81" s="131">
        <v>9000</v>
      </c>
      <c r="J81" s="132">
        <f>I81-H81</f>
        <v>0</v>
      </c>
      <c r="K81" s="230"/>
      <c r="L81" s="230"/>
      <c r="M81" s="122">
        <f>K81+L81</f>
        <v>0</v>
      </c>
      <c r="N81" s="122"/>
      <c r="O81" s="122">
        <v>9000</v>
      </c>
      <c r="P81" s="122">
        <f>M81+N81+O81</f>
        <v>9000</v>
      </c>
      <c r="Q81" s="96">
        <v>93581.05</v>
      </c>
      <c r="R81" s="232">
        <f>'[1]Salary Projections'!W17-'[1]Operating Results'!Q81</f>
        <v>86697.309000000023</v>
      </c>
      <c r="S81" s="131">
        <f>SUM(Q81:R81)</f>
        <v>180278.35900000003</v>
      </c>
      <c r="T81" s="113">
        <f t="shared" ref="T81:T84" si="68">IF(ISERR(Q81/S81),"-",Q81/S81)</f>
        <v>0.51909197820022313</v>
      </c>
      <c r="U81" s="191">
        <f t="shared" si="66"/>
        <v>171278.35900000003</v>
      </c>
      <c r="V81" s="192">
        <f t="shared" si="67"/>
        <v>-171278.35900000003</v>
      </c>
      <c r="W81" s="115">
        <f>IF(ISERR(V81/P81),"-",V81/P81)</f>
        <v>-19.030928777777781</v>
      </c>
      <c r="X81" s="146"/>
      <c r="Y81" s="147"/>
      <c r="Z81" s="156">
        <f>'[1]2021-22'!C652</f>
        <v>76294.759999999995</v>
      </c>
      <c r="AA81" s="140">
        <f t="shared" ref="AA81:AA103" si="69">O81-Z81</f>
        <v>-67294.759999999995</v>
      </c>
      <c r="AB81" s="115">
        <f t="shared" ref="AB81:AB104" si="70">IF(ISERR(AA81/Z81),"-",AA81/Z81)</f>
        <v>-0.88203645964677002</v>
      </c>
      <c r="AC81" s="147"/>
      <c r="AD81" s="156">
        <v>61599.55</v>
      </c>
      <c r="AE81" s="140">
        <f t="shared" ref="AE81:AE103" si="71">S81-AD81</f>
        <v>118678.80900000002</v>
      </c>
      <c r="AF81" s="115">
        <f t="shared" ref="AF81:AF104" si="72">IF(ISERR(AE81/AD81),"-",AE81/AD81)</f>
        <v>1.9266181165284491</v>
      </c>
      <c r="AH81" s="156">
        <v>36954.75</v>
      </c>
      <c r="AI81" s="140">
        <f t="shared" ref="AI81:AI103" si="73">S81-AH81</f>
        <v>143323.60900000003</v>
      </c>
      <c r="AJ81" s="115">
        <f>IF(ISERR(AI81/AH81),"-",AI81/AH81)</f>
        <v>3.8783541763913982</v>
      </c>
    </row>
    <row r="82" spans="1:36" s="141" customFormat="1" ht="13.35" hidden="1" customHeight="1" outlineLevel="1" x14ac:dyDescent="0.3">
      <c r="A82" s="104" t="s">
        <v>139</v>
      </c>
      <c r="B82" s="104" t="s">
        <v>140</v>
      </c>
      <c r="D82" s="105"/>
      <c r="E82" s="142"/>
      <c r="F82" s="143"/>
      <c r="G82" s="235"/>
      <c r="H82" s="130">
        <v>44500</v>
      </c>
      <c r="I82" s="131">
        <v>44500</v>
      </c>
      <c r="J82" s="132">
        <f>I82-H82</f>
        <v>0</v>
      </c>
      <c r="K82" s="230">
        <v>44400</v>
      </c>
      <c r="L82" s="230"/>
      <c r="M82" s="122">
        <f>K82+L82</f>
        <v>44400</v>
      </c>
      <c r="N82" s="122"/>
      <c r="O82" s="122"/>
      <c r="P82" s="122">
        <f>M82+N82+O82</f>
        <v>44400</v>
      </c>
      <c r="Q82" s="96">
        <v>54310.49</v>
      </c>
      <c r="R82" s="232"/>
      <c r="S82" s="131">
        <f>SUM(Q82:R82)</f>
        <v>54310.49</v>
      </c>
      <c r="T82" s="113">
        <f t="shared" si="68"/>
        <v>1</v>
      </c>
      <c r="U82" s="191">
        <f t="shared" si="66"/>
        <v>9810.489999999998</v>
      </c>
      <c r="V82" s="192">
        <f t="shared" si="67"/>
        <v>-9910.489999999998</v>
      </c>
      <c r="W82" s="115">
        <f>IF(ISERR(V82/P82),"-",V82/P82)</f>
        <v>-0.22320923423423419</v>
      </c>
      <c r="X82" s="146"/>
      <c r="Y82" s="147"/>
      <c r="Z82" s="156">
        <f>'[1]2021-22'!C653</f>
        <v>0</v>
      </c>
      <c r="AA82" s="140">
        <f t="shared" si="69"/>
        <v>0</v>
      </c>
      <c r="AB82" s="115" t="str">
        <f t="shared" si="70"/>
        <v>-</v>
      </c>
      <c r="AC82" s="147"/>
      <c r="AD82" s="156"/>
      <c r="AE82" s="140">
        <f t="shared" si="71"/>
        <v>54310.49</v>
      </c>
      <c r="AF82" s="115" t="str">
        <f t="shared" si="72"/>
        <v>-</v>
      </c>
      <c r="AH82" s="156"/>
      <c r="AI82" s="140">
        <f t="shared" si="73"/>
        <v>54310.49</v>
      </c>
      <c r="AJ82" s="115" t="str">
        <f>IF(ISERR(AI82/AH82),"-",AI82/AH82)</f>
        <v>-</v>
      </c>
    </row>
    <row r="83" spans="1:36" s="141" customFormat="1" ht="13.35" hidden="1" customHeight="1" outlineLevel="1" x14ac:dyDescent="0.3">
      <c r="A83" s="104" t="s">
        <v>141</v>
      </c>
      <c r="B83" s="104" t="s">
        <v>142</v>
      </c>
      <c r="D83" s="105"/>
      <c r="E83" s="142"/>
      <c r="F83" s="143"/>
      <c r="G83" s="235"/>
      <c r="H83" s="130"/>
      <c r="I83" s="131"/>
      <c r="J83" s="132">
        <f t="shared" ref="J83:J103" si="74">I83-H83</f>
        <v>0</v>
      </c>
      <c r="K83" s="230"/>
      <c r="L83" s="230"/>
      <c r="M83" s="122">
        <f t="shared" ref="M83:M103" si="75">K83+L83</f>
        <v>0</v>
      </c>
      <c r="N83" s="122"/>
      <c r="O83" s="122"/>
      <c r="P83" s="122">
        <f t="shared" ref="P83:P103" si="76">M83+N83+O83</f>
        <v>0</v>
      </c>
      <c r="Q83" s="96">
        <v>179165.19</v>
      </c>
      <c r="R83" s="232">
        <f>'[1]Salary Projections'!W24-'[1]Operating Results'!Q83</f>
        <v>63804.89499999996</v>
      </c>
      <c r="S83" s="131">
        <f t="shared" ref="S83:S84" si="77">SUM(Q83:R83)</f>
        <v>242970.08499999996</v>
      </c>
      <c r="T83" s="113">
        <f t="shared" si="68"/>
        <v>0.73739608725905503</v>
      </c>
      <c r="U83" s="191">
        <f t="shared" si="66"/>
        <v>242970.08499999996</v>
      </c>
      <c r="V83" s="192">
        <f t="shared" si="67"/>
        <v>-242970.08499999996</v>
      </c>
      <c r="W83" s="115" t="str">
        <f>IF(ISERR(V83/P83),"-",V83/P83)</f>
        <v>-</v>
      </c>
      <c r="X83" s="146"/>
      <c r="Y83" s="147"/>
      <c r="Z83" s="156">
        <f>'[1]2021-22'!C654</f>
        <v>7821.02</v>
      </c>
      <c r="AA83" s="140">
        <f t="shared" si="69"/>
        <v>-7821.02</v>
      </c>
      <c r="AB83" s="115">
        <f t="shared" si="70"/>
        <v>-1</v>
      </c>
      <c r="AC83" s="147"/>
      <c r="AD83" s="156">
        <v>8137.58</v>
      </c>
      <c r="AE83" s="140">
        <f t="shared" si="71"/>
        <v>234832.50499999998</v>
      </c>
      <c r="AF83" s="115">
        <f t="shared" si="72"/>
        <v>28.857781428876887</v>
      </c>
      <c r="AH83" s="156">
        <v>6629.1</v>
      </c>
      <c r="AI83" s="140">
        <f t="shared" si="73"/>
        <v>236340.98499999996</v>
      </c>
      <c r="AJ83" s="115">
        <f t="shared" ref="AJ83:AJ104" si="78">IF(ISERR(AI83/AH83),"-",AI83/AH83)</f>
        <v>35.652047035042457</v>
      </c>
    </row>
    <row r="84" spans="1:36" s="141" customFormat="1" ht="13.35" hidden="1" customHeight="1" outlineLevel="1" x14ac:dyDescent="0.3">
      <c r="A84" s="104" t="s">
        <v>143</v>
      </c>
      <c r="B84" s="104" t="s">
        <v>144</v>
      </c>
      <c r="E84" s="142"/>
      <c r="F84" s="143"/>
      <c r="G84" s="144"/>
      <c r="H84" s="130">
        <f>300800+89400</f>
        <v>390200</v>
      </c>
      <c r="I84" s="131">
        <v>390200</v>
      </c>
      <c r="J84" s="132">
        <f t="shared" si="74"/>
        <v>0</v>
      </c>
      <c r="K84" s="236">
        <v>390100</v>
      </c>
      <c r="L84" s="236"/>
      <c r="M84" s="122">
        <f t="shared" si="75"/>
        <v>390100</v>
      </c>
      <c r="N84" s="122"/>
      <c r="O84" s="122"/>
      <c r="P84" s="122">
        <f t="shared" si="76"/>
        <v>390100</v>
      </c>
      <c r="Q84" s="237">
        <v>1204321.21</v>
      </c>
      <c r="R84" s="238">
        <f>'[1]Salary Projections'!W31-'[1]Operating Results'!Q84</f>
        <v>142259.76800000016</v>
      </c>
      <c r="S84" s="131">
        <f t="shared" si="77"/>
        <v>1346580.9780000001</v>
      </c>
      <c r="T84" s="113">
        <f t="shared" si="68"/>
        <v>0.89435483619314859</v>
      </c>
      <c r="U84" s="191">
        <f t="shared" si="66"/>
        <v>956380.97800000012</v>
      </c>
      <c r="V84" s="192">
        <f t="shared" si="67"/>
        <v>-956480.97800000012</v>
      </c>
      <c r="W84" s="115">
        <f>IF(ISERR(V84/P84),"-",V84/P84)</f>
        <v>-2.4518866393232508</v>
      </c>
      <c r="X84" s="146"/>
      <c r="Y84" s="147"/>
      <c r="Z84" s="156">
        <f>'[1]2021-22'!C656</f>
        <v>1083809.1100000001</v>
      </c>
      <c r="AA84" s="140">
        <f t="shared" si="69"/>
        <v>-1083809.1100000001</v>
      </c>
      <c r="AB84" s="115">
        <f t="shared" si="70"/>
        <v>-1</v>
      </c>
      <c r="AC84" s="147"/>
      <c r="AD84" s="156">
        <v>614362.74</v>
      </c>
      <c r="AE84" s="140">
        <f t="shared" si="71"/>
        <v>732218.23800000013</v>
      </c>
      <c r="AF84" s="115">
        <f t="shared" si="72"/>
        <v>1.1918337332762077</v>
      </c>
      <c r="AH84" s="156">
        <v>667022.53</v>
      </c>
      <c r="AI84" s="140">
        <f t="shared" si="73"/>
        <v>679558.44800000009</v>
      </c>
      <c r="AJ84" s="115">
        <f t="shared" si="78"/>
        <v>1.0187938449395406</v>
      </c>
    </row>
    <row r="85" spans="1:36" s="141" customFormat="1" ht="13.35" hidden="1" customHeight="1" outlineLevel="1" x14ac:dyDescent="0.25">
      <c r="A85" s="104" t="s">
        <v>145</v>
      </c>
      <c r="B85" s="104" t="s">
        <v>146</v>
      </c>
      <c r="E85" s="142"/>
      <c r="F85" s="143"/>
      <c r="G85" s="144"/>
      <c r="H85" s="130">
        <v>7571500</v>
      </c>
      <c r="I85" s="131">
        <v>7571500</v>
      </c>
      <c r="J85" s="132">
        <f t="shared" si="74"/>
        <v>0</v>
      </c>
      <c r="K85" s="236">
        <v>7571600</v>
      </c>
      <c r="L85" s="236"/>
      <c r="M85" s="122">
        <f t="shared" si="75"/>
        <v>7571600</v>
      </c>
      <c r="N85" s="122"/>
      <c r="O85" s="122"/>
      <c r="P85" s="122">
        <f t="shared" si="76"/>
        <v>7571600</v>
      </c>
      <c r="Q85" s="237">
        <v>3855997.04</v>
      </c>
      <c r="R85" s="238">
        <f>6594082-Q85</f>
        <v>2738084.96</v>
      </c>
      <c r="S85" s="131">
        <f t="shared" ref="S85:S102" si="79">SUM(Q85:R85)</f>
        <v>6594082</v>
      </c>
      <c r="T85" s="113">
        <f t="shared" si="65"/>
        <v>0.58476631622112074</v>
      </c>
      <c r="U85" s="191">
        <f t="shared" si="66"/>
        <v>-977418</v>
      </c>
      <c r="V85" s="192">
        <f t="shared" si="67"/>
        <v>977518</v>
      </c>
      <c r="W85" s="115">
        <f t="shared" ref="W85:W104" si="80">IF(ISERR(V85/P85),"-",V85/P85)</f>
        <v>0.12910322785144487</v>
      </c>
      <c r="X85" s="146"/>
      <c r="Y85" s="147"/>
      <c r="Z85" s="130">
        <f>'[1]2021-22'!C659</f>
        <v>5363315.8899999997</v>
      </c>
      <c r="AA85" s="140">
        <f t="shared" si="69"/>
        <v>-5363315.8899999997</v>
      </c>
      <c r="AB85" s="115">
        <f t="shared" si="70"/>
        <v>-1</v>
      </c>
      <c r="AC85" s="147"/>
      <c r="AD85" s="130">
        <v>5553814.2199999997</v>
      </c>
      <c r="AE85" s="140">
        <f t="shared" si="71"/>
        <v>1040267.7800000003</v>
      </c>
      <c r="AF85" s="115">
        <f t="shared" si="72"/>
        <v>0.18730690995277841</v>
      </c>
      <c r="AH85" s="130">
        <v>5796045.8399999999</v>
      </c>
      <c r="AI85" s="140">
        <f t="shared" si="73"/>
        <v>798036.16000000015</v>
      </c>
      <c r="AJ85" s="115">
        <f t="shared" si="78"/>
        <v>0.13768630925803724</v>
      </c>
    </row>
    <row r="86" spans="1:36" ht="13.35" hidden="1" customHeight="1" outlineLevel="1" x14ac:dyDescent="0.3">
      <c r="A86" s="51" t="s">
        <v>147</v>
      </c>
      <c r="B86" s="51" t="s">
        <v>148</v>
      </c>
      <c r="E86" s="172"/>
      <c r="F86" s="173"/>
      <c r="G86" s="174"/>
      <c r="H86" s="130">
        <v>672600</v>
      </c>
      <c r="I86" s="131">
        <v>672600</v>
      </c>
      <c r="J86" s="132">
        <f t="shared" si="74"/>
        <v>0</v>
      </c>
      <c r="K86" s="213">
        <v>672500</v>
      </c>
      <c r="L86" s="213"/>
      <c r="M86" s="122">
        <f t="shared" si="75"/>
        <v>672500</v>
      </c>
      <c r="N86" s="122"/>
      <c r="O86" s="122"/>
      <c r="P86" s="122">
        <f t="shared" si="76"/>
        <v>672500</v>
      </c>
      <c r="Q86" s="224">
        <v>554312.19999999995</v>
      </c>
      <c r="R86" s="225">
        <f>656025-Q86</f>
        <v>101712.80000000005</v>
      </c>
      <c r="S86" s="135">
        <f t="shared" si="79"/>
        <v>656025</v>
      </c>
      <c r="T86" s="136">
        <f t="shared" si="65"/>
        <v>0.84495590869250403</v>
      </c>
      <c r="U86" s="191">
        <f t="shared" si="66"/>
        <v>-16575</v>
      </c>
      <c r="V86" s="137">
        <f t="shared" si="67"/>
        <v>16475</v>
      </c>
      <c r="W86" s="201">
        <f t="shared" si="80"/>
        <v>2.449814126394052E-2</v>
      </c>
      <c r="X86" s="154"/>
      <c r="Y86" s="155"/>
      <c r="Z86" s="156">
        <f>'[1]2021-22'!C661</f>
        <v>626236.38</v>
      </c>
      <c r="AA86" s="200">
        <f t="shared" si="69"/>
        <v>-626236.38</v>
      </c>
      <c r="AB86" s="201">
        <f t="shared" si="70"/>
        <v>-1</v>
      </c>
      <c r="AC86" s="155"/>
      <c r="AD86" s="156">
        <v>562138.17000000004</v>
      </c>
      <c r="AE86" s="200">
        <f t="shared" si="71"/>
        <v>93886.829999999958</v>
      </c>
      <c r="AF86" s="201">
        <f t="shared" si="72"/>
        <v>0.16701735446998725</v>
      </c>
      <c r="AH86" s="156">
        <v>523475.75</v>
      </c>
      <c r="AI86" s="200">
        <f t="shared" si="73"/>
        <v>132549.25</v>
      </c>
      <c r="AJ86" s="201">
        <f t="shared" si="78"/>
        <v>0.2532099146904131</v>
      </c>
    </row>
    <row r="87" spans="1:36" ht="13.35" hidden="1" customHeight="1" outlineLevel="1" x14ac:dyDescent="0.3">
      <c r="A87" s="51" t="s">
        <v>149</v>
      </c>
      <c r="B87" s="51" t="s">
        <v>150</v>
      </c>
      <c r="E87" s="172"/>
      <c r="F87" s="173"/>
      <c r="G87" s="174"/>
      <c r="H87" s="156"/>
      <c r="I87" s="131"/>
      <c r="J87" s="132">
        <f t="shared" si="74"/>
        <v>0</v>
      </c>
      <c r="K87" s="213"/>
      <c r="L87" s="213"/>
      <c r="M87" s="122">
        <f t="shared" si="75"/>
        <v>0</v>
      </c>
      <c r="N87" s="122"/>
      <c r="O87" s="122"/>
      <c r="P87" s="122">
        <f t="shared" si="76"/>
        <v>0</v>
      </c>
      <c r="Q87" s="224"/>
      <c r="R87" s="225"/>
      <c r="S87" s="135">
        <f t="shared" ref="S87" si="81">SUM(Q87:R87)</f>
        <v>0</v>
      </c>
      <c r="T87" s="136" t="str">
        <f t="shared" si="65"/>
        <v>-</v>
      </c>
      <c r="U87" s="191">
        <f t="shared" si="66"/>
        <v>0</v>
      </c>
      <c r="V87" s="137">
        <f t="shared" si="67"/>
        <v>0</v>
      </c>
      <c r="W87" s="201" t="str">
        <f t="shared" si="80"/>
        <v>-</v>
      </c>
      <c r="X87" s="154"/>
      <c r="Y87" s="155"/>
      <c r="Z87" s="156"/>
      <c r="AA87" s="200">
        <f t="shared" si="69"/>
        <v>0</v>
      </c>
      <c r="AB87" s="201" t="str">
        <f t="shared" si="70"/>
        <v>-</v>
      </c>
      <c r="AC87" s="155"/>
      <c r="AD87" s="156"/>
      <c r="AE87" s="200">
        <f t="shared" si="71"/>
        <v>0</v>
      </c>
      <c r="AF87" s="201" t="str">
        <f t="shared" si="72"/>
        <v>-</v>
      </c>
      <c r="AH87" s="156"/>
      <c r="AI87" s="200">
        <f t="shared" si="73"/>
        <v>0</v>
      </c>
      <c r="AJ87" s="201" t="str">
        <f t="shared" si="78"/>
        <v>-</v>
      </c>
    </row>
    <row r="88" spans="1:36" ht="13.35" hidden="1" customHeight="1" outlineLevel="1" x14ac:dyDescent="0.3">
      <c r="A88" s="51" t="s">
        <v>151</v>
      </c>
      <c r="B88" s="51" t="s">
        <v>152</v>
      </c>
      <c r="E88" s="172"/>
      <c r="F88" s="173"/>
      <c r="G88" s="174"/>
      <c r="H88" s="156">
        <v>3342300</v>
      </c>
      <c r="I88" s="131">
        <v>3342300</v>
      </c>
      <c r="J88" s="132">
        <f t="shared" si="74"/>
        <v>0</v>
      </c>
      <c r="K88" s="213">
        <v>3342300</v>
      </c>
      <c r="L88" s="213"/>
      <c r="M88" s="122">
        <f t="shared" si="75"/>
        <v>3342300</v>
      </c>
      <c r="N88" s="122"/>
      <c r="O88" s="122"/>
      <c r="P88" s="122">
        <f t="shared" si="76"/>
        <v>3342300</v>
      </c>
      <c r="Q88" s="224">
        <v>1380570.35</v>
      </c>
      <c r="R88" s="225">
        <f>1495971-Q88</f>
        <v>115400.64999999991</v>
      </c>
      <c r="S88" s="135">
        <f t="shared" si="79"/>
        <v>1495971</v>
      </c>
      <c r="T88" s="136">
        <f t="shared" si="65"/>
        <v>0.92285903269515257</v>
      </c>
      <c r="U88" s="191">
        <f t="shared" si="66"/>
        <v>-1846329</v>
      </c>
      <c r="V88" s="137">
        <f t="shared" si="67"/>
        <v>1846329</v>
      </c>
      <c r="W88" s="201">
        <f t="shared" si="80"/>
        <v>0.55241270981060941</v>
      </c>
      <c r="X88" s="154"/>
      <c r="Y88" s="155"/>
      <c r="Z88" s="156">
        <f>'[1]2021-22'!C663</f>
        <v>2588331.86</v>
      </c>
      <c r="AA88" s="200">
        <f t="shared" si="69"/>
        <v>-2588331.86</v>
      </c>
      <c r="AB88" s="201">
        <f t="shared" si="70"/>
        <v>-1</v>
      </c>
      <c r="AC88" s="155"/>
      <c r="AD88" s="156">
        <v>2719939.14</v>
      </c>
      <c r="AE88" s="200">
        <f t="shared" si="71"/>
        <v>-1223968.1400000001</v>
      </c>
      <c r="AF88" s="201">
        <f t="shared" si="72"/>
        <v>-0.44999835547790973</v>
      </c>
      <c r="AH88" s="156">
        <v>2713761.2</v>
      </c>
      <c r="AI88" s="200">
        <f t="shared" si="73"/>
        <v>-1217790.2000000002</v>
      </c>
      <c r="AJ88" s="201">
        <f t="shared" si="78"/>
        <v>-0.44874626404121337</v>
      </c>
    </row>
    <row r="89" spans="1:36" s="141" customFormat="1" ht="13.35" hidden="1" customHeight="1" outlineLevel="1" x14ac:dyDescent="0.25">
      <c r="A89" s="104" t="s">
        <v>153</v>
      </c>
      <c r="B89" s="104" t="s">
        <v>154</v>
      </c>
      <c r="E89" s="142"/>
      <c r="F89" s="143"/>
      <c r="G89" s="144"/>
      <c r="H89" s="130">
        <v>446100</v>
      </c>
      <c r="I89" s="131">
        <v>446100</v>
      </c>
      <c r="J89" s="132">
        <f t="shared" si="74"/>
        <v>0</v>
      </c>
      <c r="K89" s="236">
        <v>446000</v>
      </c>
      <c r="L89" s="236"/>
      <c r="M89" s="122">
        <f t="shared" si="75"/>
        <v>446000</v>
      </c>
      <c r="N89" s="122"/>
      <c r="O89" s="122"/>
      <c r="P89" s="122">
        <f t="shared" si="76"/>
        <v>446000</v>
      </c>
      <c r="Q89" s="237">
        <v>381333.57</v>
      </c>
      <c r="R89" s="238">
        <f>426909-Q89</f>
        <v>45575.429999999993</v>
      </c>
      <c r="S89" s="131">
        <f t="shared" si="79"/>
        <v>426909</v>
      </c>
      <c r="T89" s="113">
        <f t="shared" si="65"/>
        <v>0.89324322045213389</v>
      </c>
      <c r="U89" s="191">
        <f t="shared" si="66"/>
        <v>-19191</v>
      </c>
      <c r="V89" s="192">
        <f t="shared" si="67"/>
        <v>19091</v>
      </c>
      <c r="W89" s="115">
        <f t="shared" si="80"/>
        <v>4.2804932735426009E-2</v>
      </c>
      <c r="X89" s="146"/>
      <c r="Y89" s="147"/>
      <c r="Z89" s="130">
        <f>'[1]2021-22'!C664</f>
        <v>358692.58</v>
      </c>
      <c r="AA89" s="140">
        <f t="shared" si="69"/>
        <v>-358692.58</v>
      </c>
      <c r="AB89" s="115">
        <f t="shared" si="70"/>
        <v>-1</v>
      </c>
      <c r="AC89" s="147"/>
      <c r="AD89" s="130">
        <v>301981.32</v>
      </c>
      <c r="AE89" s="140">
        <f t="shared" si="71"/>
        <v>124927.67999999999</v>
      </c>
      <c r="AF89" s="115">
        <f t="shared" si="72"/>
        <v>0.41369340328732912</v>
      </c>
      <c r="AH89" s="130">
        <v>262978.95</v>
      </c>
      <c r="AI89" s="140">
        <f t="shared" si="73"/>
        <v>163930.04999999999</v>
      </c>
      <c r="AJ89" s="115">
        <f t="shared" si="78"/>
        <v>0.6233580672521507</v>
      </c>
    </row>
    <row r="90" spans="1:36" s="141" customFormat="1" ht="13.35" hidden="1" customHeight="1" outlineLevel="1" x14ac:dyDescent="0.25">
      <c r="A90" s="104" t="s">
        <v>155</v>
      </c>
      <c r="B90" s="104" t="s">
        <v>156</v>
      </c>
      <c r="E90" s="142"/>
      <c r="F90" s="143"/>
      <c r="G90" s="144"/>
      <c r="H90" s="130"/>
      <c r="I90" s="131"/>
      <c r="J90" s="132">
        <f t="shared" si="74"/>
        <v>0</v>
      </c>
      <c r="K90" s="236">
        <v>1988200</v>
      </c>
      <c r="L90" s="236"/>
      <c r="M90" s="122">
        <f t="shared" si="75"/>
        <v>1988200</v>
      </c>
      <c r="N90" s="122"/>
      <c r="O90" s="122">
        <v>-1988200</v>
      </c>
      <c r="P90" s="122">
        <f t="shared" si="76"/>
        <v>0</v>
      </c>
      <c r="Q90" s="237"/>
      <c r="R90" s="238"/>
      <c r="S90" s="131">
        <f t="shared" si="79"/>
        <v>0</v>
      </c>
      <c r="T90" s="113" t="str">
        <f t="shared" si="65"/>
        <v>-</v>
      </c>
      <c r="U90" s="191"/>
      <c r="V90" s="192">
        <f t="shared" si="67"/>
        <v>0</v>
      </c>
      <c r="W90" s="115"/>
      <c r="X90" s="146"/>
      <c r="Y90" s="147"/>
      <c r="Z90" s="130"/>
      <c r="AA90" s="140"/>
      <c r="AB90" s="115"/>
      <c r="AC90" s="147"/>
      <c r="AD90" s="130"/>
      <c r="AE90" s="140"/>
      <c r="AF90" s="115"/>
      <c r="AH90" s="130"/>
      <c r="AI90" s="140"/>
      <c r="AJ90" s="115"/>
    </row>
    <row r="91" spans="1:36" s="141" customFormat="1" ht="13.35" hidden="1" customHeight="1" outlineLevel="1" x14ac:dyDescent="0.25">
      <c r="A91" s="104" t="s">
        <v>157</v>
      </c>
      <c r="B91" s="104" t="s">
        <v>158</v>
      </c>
      <c r="E91" s="142"/>
      <c r="F91" s="143"/>
      <c r="G91" s="144"/>
      <c r="H91" s="130"/>
      <c r="I91" s="131"/>
      <c r="J91" s="132">
        <f t="shared" si="74"/>
        <v>0</v>
      </c>
      <c r="K91" s="236"/>
      <c r="L91" s="236"/>
      <c r="M91" s="122">
        <f t="shared" si="75"/>
        <v>0</v>
      </c>
      <c r="N91" s="122"/>
      <c r="O91" s="122"/>
      <c r="P91" s="122">
        <f t="shared" si="76"/>
        <v>0</v>
      </c>
      <c r="Q91" s="237"/>
      <c r="R91" s="238"/>
      <c r="S91" s="131">
        <f t="shared" ref="S91" si="82">SUM(Q91:R91)</f>
        <v>0</v>
      </c>
      <c r="T91" s="113" t="str">
        <f t="shared" si="65"/>
        <v>-</v>
      </c>
      <c r="U91" s="191">
        <f t="shared" ref="U91" si="83">S91-I91</f>
        <v>0</v>
      </c>
      <c r="V91" s="192">
        <f t="shared" si="67"/>
        <v>0</v>
      </c>
      <c r="W91" s="115" t="str">
        <f t="shared" si="80"/>
        <v>-</v>
      </c>
      <c r="X91" s="146"/>
      <c r="Y91" s="147"/>
      <c r="Z91" s="130">
        <f>'[1]2021-22'!C665</f>
        <v>29173</v>
      </c>
      <c r="AA91" s="140">
        <f t="shared" si="69"/>
        <v>-29173</v>
      </c>
      <c r="AB91" s="115">
        <f t="shared" si="70"/>
        <v>-1</v>
      </c>
      <c r="AC91" s="147"/>
      <c r="AD91" s="130"/>
      <c r="AE91" s="140">
        <f t="shared" si="71"/>
        <v>0</v>
      </c>
      <c r="AF91" s="115" t="str">
        <f t="shared" si="72"/>
        <v>-</v>
      </c>
      <c r="AH91" s="130"/>
      <c r="AI91" s="140">
        <f t="shared" si="73"/>
        <v>0</v>
      </c>
      <c r="AJ91" s="115" t="str">
        <f t="shared" si="78"/>
        <v>-</v>
      </c>
    </row>
    <row r="92" spans="1:36" ht="13.35" hidden="1" customHeight="1" outlineLevel="1" x14ac:dyDescent="0.3">
      <c r="A92" s="51" t="s">
        <v>159</v>
      </c>
      <c r="B92" s="51" t="s">
        <v>160</v>
      </c>
      <c r="E92" s="172"/>
      <c r="F92" s="173"/>
      <c r="G92" s="174"/>
      <c r="H92" s="130">
        <v>1836900</v>
      </c>
      <c r="I92" s="131">
        <v>1836900</v>
      </c>
      <c r="J92" s="132">
        <f t="shared" si="74"/>
        <v>0</v>
      </c>
      <c r="K92" s="213">
        <v>1836800</v>
      </c>
      <c r="L92" s="213">
        <v>489900</v>
      </c>
      <c r="M92" s="122">
        <f t="shared" si="75"/>
        <v>2326700</v>
      </c>
      <c r="N92" s="122"/>
      <c r="O92" s="122"/>
      <c r="P92" s="122">
        <f t="shared" si="76"/>
        <v>2326700</v>
      </c>
      <c r="Q92" s="224">
        <v>1330270.33</v>
      </c>
      <c r="R92" s="225">
        <f>1466920-Q92+100000</f>
        <v>236649.66999999993</v>
      </c>
      <c r="S92" s="135">
        <f t="shared" si="79"/>
        <v>1566920</v>
      </c>
      <c r="T92" s="136">
        <f t="shared" si="65"/>
        <v>0.84897144078829812</v>
      </c>
      <c r="U92" s="191">
        <f t="shared" si="66"/>
        <v>-269980</v>
      </c>
      <c r="V92" s="137">
        <f t="shared" si="67"/>
        <v>759780</v>
      </c>
      <c r="W92" s="201">
        <f t="shared" si="80"/>
        <v>0.32654833025314822</v>
      </c>
      <c r="X92" s="198"/>
      <c r="Y92" s="199"/>
      <c r="Z92" s="156">
        <f>'[1]2021-22'!C666</f>
        <v>928809.84</v>
      </c>
      <c r="AA92" s="200">
        <f t="shared" si="69"/>
        <v>-928809.84</v>
      </c>
      <c r="AB92" s="201">
        <f t="shared" si="70"/>
        <v>-1</v>
      </c>
      <c r="AC92" s="199"/>
      <c r="AD92" s="156">
        <v>935369.44</v>
      </c>
      <c r="AE92" s="200">
        <f t="shared" si="71"/>
        <v>631550.56000000006</v>
      </c>
      <c r="AF92" s="201">
        <f t="shared" si="72"/>
        <v>0.67518836193750364</v>
      </c>
      <c r="AH92" s="156">
        <v>877256.27</v>
      </c>
      <c r="AI92" s="200">
        <f t="shared" si="73"/>
        <v>689663.73</v>
      </c>
      <c r="AJ92" s="201">
        <f t="shared" si="78"/>
        <v>0.7861599324904226</v>
      </c>
    </row>
    <row r="93" spans="1:36" ht="13.35" hidden="1" customHeight="1" outlineLevel="1" x14ac:dyDescent="0.3">
      <c r="A93" s="51" t="s">
        <v>161</v>
      </c>
      <c r="B93" s="51" t="s">
        <v>162</v>
      </c>
      <c r="E93" s="172"/>
      <c r="F93" s="173"/>
      <c r="G93" s="174"/>
      <c r="H93" s="156"/>
      <c r="I93" s="131"/>
      <c r="J93" s="132">
        <f t="shared" si="74"/>
        <v>0</v>
      </c>
      <c r="K93" s="213"/>
      <c r="L93" s="213"/>
      <c r="M93" s="122">
        <f t="shared" si="75"/>
        <v>0</v>
      </c>
      <c r="N93" s="122"/>
      <c r="O93" s="122"/>
      <c r="P93" s="122">
        <f t="shared" si="76"/>
        <v>0</v>
      </c>
      <c r="Q93" s="224"/>
      <c r="R93" s="225"/>
      <c r="S93" s="135">
        <f t="shared" si="79"/>
        <v>0</v>
      </c>
      <c r="T93" s="136" t="str">
        <f t="shared" si="65"/>
        <v>-</v>
      </c>
      <c r="U93" s="191">
        <f t="shared" si="66"/>
        <v>0</v>
      </c>
      <c r="V93" s="137">
        <f t="shared" si="67"/>
        <v>0</v>
      </c>
      <c r="W93" s="201" t="str">
        <f t="shared" si="80"/>
        <v>-</v>
      </c>
      <c r="X93" s="154"/>
      <c r="Y93" s="155"/>
      <c r="Z93" s="156">
        <f>'[1]2021-22'!C667</f>
        <v>139.9</v>
      </c>
      <c r="AA93" s="200">
        <f t="shared" si="69"/>
        <v>-139.9</v>
      </c>
      <c r="AB93" s="201">
        <f t="shared" si="70"/>
        <v>-1</v>
      </c>
      <c r="AC93" s="155"/>
      <c r="AD93" s="156">
        <v>0</v>
      </c>
      <c r="AE93" s="200">
        <f t="shared" si="71"/>
        <v>0</v>
      </c>
      <c r="AF93" s="201" t="str">
        <f t="shared" si="72"/>
        <v>-</v>
      </c>
      <c r="AH93" s="156">
        <v>4013.75</v>
      </c>
      <c r="AI93" s="200">
        <f t="shared" si="73"/>
        <v>-4013.75</v>
      </c>
      <c r="AJ93" s="201">
        <f t="shared" si="78"/>
        <v>-1</v>
      </c>
    </row>
    <row r="94" spans="1:36" s="141" customFormat="1" ht="13.35" hidden="1" customHeight="1" outlineLevel="1" x14ac:dyDescent="0.25">
      <c r="A94" s="104" t="s">
        <v>163</v>
      </c>
      <c r="B94" s="104" t="s">
        <v>164</v>
      </c>
      <c r="E94" s="142"/>
      <c r="F94" s="143"/>
      <c r="G94" s="144"/>
      <c r="H94" s="130">
        <f>186300+94900+210300</f>
        <v>491500</v>
      </c>
      <c r="I94" s="131">
        <v>491500</v>
      </c>
      <c r="J94" s="132">
        <f t="shared" si="74"/>
        <v>0</v>
      </c>
      <c r="K94" s="236">
        <v>491400</v>
      </c>
      <c r="L94" s="236"/>
      <c r="M94" s="122">
        <f t="shared" si="75"/>
        <v>491400</v>
      </c>
      <c r="N94" s="122"/>
      <c r="O94" s="122"/>
      <c r="P94" s="122">
        <f t="shared" si="76"/>
        <v>491400</v>
      </c>
      <c r="Q94" s="237">
        <v>349283.84000000003</v>
      </c>
      <c r="R94" s="238">
        <f>'[1]Main Veh'!N32-'[1]Operating Results'!Q94</f>
        <v>109687.80799999996</v>
      </c>
      <c r="S94" s="131">
        <f t="shared" si="79"/>
        <v>458971.64799999999</v>
      </c>
      <c r="T94" s="113">
        <f t="shared" si="65"/>
        <v>0.76101397879809785</v>
      </c>
      <c r="U94" s="191">
        <f t="shared" si="66"/>
        <v>-32528.352000000014</v>
      </c>
      <c r="V94" s="192">
        <f t="shared" si="67"/>
        <v>32428.352000000014</v>
      </c>
      <c r="W94" s="115">
        <f t="shared" si="80"/>
        <v>6.5991762311762334E-2</v>
      </c>
      <c r="X94" s="146"/>
      <c r="Y94" s="147"/>
      <c r="Z94" s="130">
        <f>'[1]2021-22'!C668</f>
        <v>530508.67000000004</v>
      </c>
      <c r="AA94" s="140">
        <f t="shared" si="69"/>
        <v>-530508.67000000004</v>
      </c>
      <c r="AB94" s="115">
        <f t="shared" si="70"/>
        <v>-1</v>
      </c>
      <c r="AC94" s="147"/>
      <c r="AD94" s="130">
        <v>484739.73</v>
      </c>
      <c r="AE94" s="140">
        <f t="shared" si="71"/>
        <v>-25768.081999999995</v>
      </c>
      <c r="AF94" s="115">
        <f t="shared" si="72"/>
        <v>-5.3158592962866888E-2</v>
      </c>
      <c r="AH94" s="130">
        <v>387901.24</v>
      </c>
      <c r="AI94" s="140">
        <f t="shared" si="73"/>
        <v>71070.407999999996</v>
      </c>
      <c r="AJ94" s="115">
        <f t="shared" si="78"/>
        <v>0.18321779017772669</v>
      </c>
    </row>
    <row r="95" spans="1:36" s="141" customFormat="1" ht="13.35" hidden="1" customHeight="1" outlineLevel="1" x14ac:dyDescent="0.25">
      <c r="A95" s="104" t="s">
        <v>165</v>
      </c>
      <c r="B95" s="104" t="s">
        <v>69</v>
      </c>
      <c r="E95" s="142"/>
      <c r="F95" s="143"/>
      <c r="G95" s="144"/>
      <c r="H95" s="130">
        <v>1800</v>
      </c>
      <c r="I95" s="131">
        <v>1800</v>
      </c>
      <c r="J95" s="132">
        <f t="shared" si="74"/>
        <v>0</v>
      </c>
      <c r="K95" s="236">
        <v>1800</v>
      </c>
      <c r="L95" s="236"/>
      <c r="M95" s="122">
        <f t="shared" si="75"/>
        <v>1800</v>
      </c>
      <c r="N95" s="122"/>
      <c r="O95" s="122"/>
      <c r="P95" s="122">
        <f t="shared" si="76"/>
        <v>1800</v>
      </c>
      <c r="Q95" s="237"/>
      <c r="R95" s="238"/>
      <c r="S95" s="131">
        <f t="shared" ref="S95" si="84">SUM(Q95:R95)</f>
        <v>0</v>
      </c>
      <c r="T95" s="113" t="str">
        <f t="shared" si="65"/>
        <v>-</v>
      </c>
      <c r="U95" s="191">
        <f t="shared" si="66"/>
        <v>-1800</v>
      </c>
      <c r="V95" s="192">
        <f t="shared" si="67"/>
        <v>1800</v>
      </c>
      <c r="W95" s="115">
        <f t="shared" si="80"/>
        <v>1</v>
      </c>
      <c r="X95" s="146"/>
      <c r="Y95" s="147"/>
      <c r="Z95" s="130"/>
      <c r="AA95" s="140">
        <f t="shared" si="69"/>
        <v>0</v>
      </c>
      <c r="AB95" s="115" t="str">
        <f t="shared" si="70"/>
        <v>-</v>
      </c>
      <c r="AC95" s="147"/>
      <c r="AD95" s="130">
        <v>144648.29000000004</v>
      </c>
      <c r="AE95" s="140">
        <f t="shared" si="71"/>
        <v>-144648.29000000004</v>
      </c>
      <c r="AF95" s="115">
        <f t="shared" si="72"/>
        <v>-1</v>
      </c>
      <c r="AH95" s="130">
        <v>115534.39999999999</v>
      </c>
      <c r="AI95" s="140">
        <f t="shared" si="73"/>
        <v>-115534.39999999999</v>
      </c>
      <c r="AJ95" s="115">
        <f t="shared" si="78"/>
        <v>-1</v>
      </c>
    </row>
    <row r="96" spans="1:36" ht="13.35" hidden="1" customHeight="1" outlineLevel="1" x14ac:dyDescent="0.3">
      <c r="A96" s="51" t="s">
        <v>166</v>
      </c>
      <c r="B96" s="51" t="s">
        <v>167</v>
      </c>
      <c r="E96" s="172"/>
      <c r="F96" s="173"/>
      <c r="G96" s="174"/>
      <c r="H96" s="130">
        <v>1427300</v>
      </c>
      <c r="I96" s="131">
        <v>1427300</v>
      </c>
      <c r="J96" s="132">
        <f t="shared" si="74"/>
        <v>0</v>
      </c>
      <c r="K96" s="213">
        <v>1427400</v>
      </c>
      <c r="L96" s="213"/>
      <c r="M96" s="122">
        <f t="shared" si="75"/>
        <v>1427400</v>
      </c>
      <c r="N96" s="122"/>
      <c r="O96" s="122"/>
      <c r="P96" s="122">
        <f t="shared" si="76"/>
        <v>1427400</v>
      </c>
      <c r="Q96" s="224">
        <v>656510.03</v>
      </c>
      <c r="R96" s="225">
        <f>'[1]Heating Fuel'!AB35-'[1]Operating Results'!Q96</f>
        <v>152603.61945999996</v>
      </c>
      <c r="S96" s="135">
        <f t="shared" si="79"/>
        <v>809113.64945999999</v>
      </c>
      <c r="T96" s="136">
        <f t="shared" si="65"/>
        <v>0.81139408590888662</v>
      </c>
      <c r="U96" s="191">
        <f t="shared" si="66"/>
        <v>-618186.35054000001</v>
      </c>
      <c r="V96" s="137">
        <f t="shared" si="67"/>
        <v>618286.35054000001</v>
      </c>
      <c r="W96" s="201">
        <f t="shared" si="80"/>
        <v>0.43315563299705762</v>
      </c>
      <c r="X96" s="198"/>
      <c r="Y96" s="199"/>
      <c r="Z96" s="156">
        <f>'[1]2021-22'!C679</f>
        <v>905648.16</v>
      </c>
      <c r="AA96" s="200">
        <f t="shared" si="69"/>
        <v>-905648.16</v>
      </c>
      <c r="AB96" s="201">
        <f t="shared" si="70"/>
        <v>-1</v>
      </c>
      <c r="AC96" s="199"/>
      <c r="AD96" s="156">
        <v>798100.49</v>
      </c>
      <c r="AE96" s="200">
        <f t="shared" si="71"/>
        <v>11013.159459999995</v>
      </c>
      <c r="AF96" s="201">
        <f t="shared" si="72"/>
        <v>1.3799214006246251E-2</v>
      </c>
      <c r="AH96" s="156">
        <v>802145.7</v>
      </c>
      <c r="AI96" s="200">
        <f t="shared" si="73"/>
        <v>6967.9494600000326</v>
      </c>
      <c r="AJ96" s="201">
        <f t="shared" si="78"/>
        <v>8.6866381755833551E-3</v>
      </c>
    </row>
    <row r="97" spans="1:36" ht="13.35" hidden="1" customHeight="1" outlineLevel="1" x14ac:dyDescent="0.3">
      <c r="A97" s="51" t="s">
        <v>168</v>
      </c>
      <c r="B97" s="51" t="s">
        <v>169</v>
      </c>
      <c r="E97" s="172"/>
      <c r="F97" s="173"/>
      <c r="G97" s="174"/>
      <c r="H97" s="130">
        <f>593500+105600</f>
        <v>699100</v>
      </c>
      <c r="I97" s="131">
        <v>699100</v>
      </c>
      <c r="J97" s="132">
        <f t="shared" si="74"/>
        <v>0</v>
      </c>
      <c r="K97" s="213">
        <v>699100</v>
      </c>
      <c r="L97" s="213"/>
      <c r="M97" s="122">
        <f t="shared" si="75"/>
        <v>699100</v>
      </c>
      <c r="N97" s="122"/>
      <c r="O97" s="122"/>
      <c r="P97" s="122">
        <f t="shared" si="76"/>
        <v>699100</v>
      </c>
      <c r="Q97" s="224">
        <v>473221.33</v>
      </c>
      <c r="R97" s="225">
        <f>'[1]Natural Gas'!N293-'[1]Operating Results'!Q97</f>
        <v>64488.221107055258</v>
      </c>
      <c r="S97" s="135">
        <f t="shared" ref="S97:S100" si="85">SUM(Q97:R97)</f>
        <v>537709.55110705527</v>
      </c>
      <c r="T97" s="136">
        <f t="shared" si="65"/>
        <v>0.88006867095017249</v>
      </c>
      <c r="U97" s="191">
        <f t="shared" si="66"/>
        <v>-161390.44889294473</v>
      </c>
      <c r="V97" s="137">
        <f t="shared" si="67"/>
        <v>161390.44889294473</v>
      </c>
      <c r="W97" s="201">
        <f t="shared" si="80"/>
        <v>0.23085459718630344</v>
      </c>
      <c r="X97" s="198"/>
      <c r="Y97" s="199"/>
      <c r="Z97" s="156">
        <f>'[1]2021-22'!C680</f>
        <v>711096.23</v>
      </c>
      <c r="AA97" s="200">
        <f t="shared" si="69"/>
        <v>-711096.23</v>
      </c>
      <c r="AB97" s="201">
        <f t="shared" si="70"/>
        <v>-1</v>
      </c>
      <c r="AC97" s="199"/>
      <c r="AD97" s="156">
        <v>1055481.8799999999</v>
      </c>
      <c r="AE97" s="200">
        <f t="shared" si="71"/>
        <v>-517772.32889294461</v>
      </c>
      <c r="AF97" s="201">
        <f t="shared" si="72"/>
        <v>-0.49055539342176546</v>
      </c>
      <c r="AH97" s="156">
        <v>832094.44</v>
      </c>
      <c r="AI97" s="200">
        <f t="shared" si="73"/>
        <v>-294384.88889294467</v>
      </c>
      <c r="AJ97" s="201">
        <f t="shared" si="78"/>
        <v>-0.35378783313699907</v>
      </c>
    </row>
    <row r="98" spans="1:36" ht="13.35" hidden="1" customHeight="1" outlineLevel="1" x14ac:dyDescent="0.3">
      <c r="A98" s="51" t="s">
        <v>170</v>
      </c>
      <c r="B98" s="51" t="s">
        <v>171</v>
      </c>
      <c r="E98" s="172"/>
      <c r="F98" s="173"/>
      <c r="G98" s="174"/>
      <c r="H98" s="130">
        <v>161600</v>
      </c>
      <c r="I98" s="131">
        <v>161600</v>
      </c>
      <c r="J98" s="132">
        <f t="shared" si="74"/>
        <v>0</v>
      </c>
      <c r="K98" s="213">
        <v>161600</v>
      </c>
      <c r="L98" s="213"/>
      <c r="M98" s="122">
        <f t="shared" si="75"/>
        <v>161600</v>
      </c>
      <c r="N98" s="122"/>
      <c r="O98" s="122"/>
      <c r="P98" s="122">
        <f t="shared" si="76"/>
        <v>161600</v>
      </c>
      <c r="Q98" s="224">
        <v>105391.88</v>
      </c>
      <c r="R98" s="225">
        <f>110000-Q98</f>
        <v>4608.1199999999953</v>
      </c>
      <c r="S98" s="135">
        <f t="shared" si="85"/>
        <v>110000</v>
      </c>
      <c r="T98" s="136">
        <f t="shared" si="65"/>
        <v>0.95810800000000007</v>
      </c>
      <c r="U98" s="191">
        <f t="shared" si="66"/>
        <v>-51600</v>
      </c>
      <c r="V98" s="137">
        <f t="shared" si="67"/>
        <v>51600</v>
      </c>
      <c r="W98" s="201">
        <f t="shared" si="80"/>
        <v>0.31930693069306931</v>
      </c>
      <c r="X98" s="198"/>
      <c r="Y98" s="199"/>
      <c r="Z98" s="156">
        <f>'[1]2021-22'!C681</f>
        <v>48494.62</v>
      </c>
      <c r="AA98" s="200">
        <f t="shared" si="69"/>
        <v>-48494.62</v>
      </c>
      <c r="AB98" s="201">
        <f t="shared" si="70"/>
        <v>-1</v>
      </c>
      <c r="AC98" s="199"/>
      <c r="AD98" s="156">
        <v>57035.69</v>
      </c>
      <c r="AE98" s="200">
        <f t="shared" si="71"/>
        <v>52964.31</v>
      </c>
      <c r="AF98" s="201">
        <f t="shared" si="72"/>
        <v>0.92861697649313957</v>
      </c>
      <c r="AH98" s="156">
        <v>48283.61</v>
      </c>
      <c r="AI98" s="200">
        <f t="shared" si="73"/>
        <v>61716.39</v>
      </c>
      <c r="AJ98" s="201">
        <f t="shared" si="78"/>
        <v>1.2782057928145802</v>
      </c>
    </row>
    <row r="99" spans="1:36" ht="13.35" hidden="1" customHeight="1" outlineLevel="1" x14ac:dyDescent="0.3">
      <c r="A99" s="51" t="s">
        <v>172</v>
      </c>
      <c r="B99" s="51" t="s">
        <v>173</v>
      </c>
      <c r="E99" s="172"/>
      <c r="F99" s="173"/>
      <c r="G99" s="174"/>
      <c r="H99" s="130"/>
      <c r="I99" s="131"/>
      <c r="J99" s="132">
        <f t="shared" si="74"/>
        <v>0</v>
      </c>
      <c r="K99" s="213">
        <v>531500</v>
      </c>
      <c r="L99" s="213"/>
      <c r="M99" s="122">
        <f t="shared" si="75"/>
        <v>531500</v>
      </c>
      <c r="N99" s="122"/>
      <c r="O99" s="122">
        <v>-531500</v>
      </c>
      <c r="P99" s="122">
        <f t="shared" si="76"/>
        <v>0</v>
      </c>
      <c r="Q99" s="224"/>
      <c r="R99" s="225"/>
      <c r="S99" s="135">
        <f t="shared" si="85"/>
        <v>0</v>
      </c>
      <c r="T99" s="136"/>
      <c r="U99" s="191"/>
      <c r="V99" s="137">
        <f t="shared" si="67"/>
        <v>0</v>
      </c>
      <c r="W99" s="201"/>
      <c r="X99" s="198"/>
      <c r="Y99" s="199"/>
      <c r="Z99" s="156"/>
      <c r="AA99" s="200"/>
      <c r="AB99" s="201"/>
      <c r="AC99" s="199"/>
      <c r="AD99" s="156"/>
      <c r="AE99" s="200"/>
      <c r="AF99" s="201"/>
      <c r="AH99" s="156"/>
      <c r="AI99" s="200"/>
      <c r="AJ99" s="201"/>
    </row>
    <row r="100" spans="1:36" ht="13.35" hidden="1" customHeight="1" outlineLevel="1" x14ac:dyDescent="0.3">
      <c r="A100" s="51" t="s">
        <v>174</v>
      </c>
      <c r="B100" s="51" t="s">
        <v>175</v>
      </c>
      <c r="E100" s="172"/>
      <c r="F100" s="173"/>
      <c r="G100" s="174"/>
      <c r="H100" s="130"/>
      <c r="I100" s="131"/>
      <c r="J100" s="132">
        <f t="shared" si="74"/>
        <v>0</v>
      </c>
      <c r="K100" s="213">
        <v>193500</v>
      </c>
      <c r="L100" s="213"/>
      <c r="M100" s="122">
        <f t="shared" si="75"/>
        <v>193500</v>
      </c>
      <c r="N100" s="122"/>
      <c r="O100" s="122">
        <v>-193500</v>
      </c>
      <c r="P100" s="122">
        <f t="shared" si="76"/>
        <v>0</v>
      </c>
      <c r="Q100" s="237">
        <v>154401.81</v>
      </c>
      <c r="R100" s="225">
        <f>200000-Q100</f>
        <v>45598.19</v>
      </c>
      <c r="S100" s="135">
        <f t="shared" si="85"/>
        <v>200000</v>
      </c>
      <c r="T100" s="136"/>
      <c r="U100" s="191"/>
      <c r="V100" s="137">
        <f t="shared" si="67"/>
        <v>-200000</v>
      </c>
      <c r="W100" s="201"/>
      <c r="X100" s="198"/>
      <c r="Y100" s="199"/>
      <c r="Z100" s="156"/>
      <c r="AA100" s="200"/>
      <c r="AB100" s="201"/>
      <c r="AC100" s="199"/>
      <c r="AD100" s="156"/>
      <c r="AE100" s="200"/>
      <c r="AF100" s="201"/>
      <c r="AH100" s="156"/>
      <c r="AI100" s="200"/>
      <c r="AJ100" s="201"/>
    </row>
    <row r="101" spans="1:36" ht="13.35" hidden="1" customHeight="1" outlineLevel="1" x14ac:dyDescent="0.3">
      <c r="A101" s="51" t="s">
        <v>176</v>
      </c>
      <c r="B101" s="51" t="s">
        <v>156</v>
      </c>
      <c r="C101" s="1"/>
      <c r="E101" s="172"/>
      <c r="F101" s="173"/>
      <c r="G101" s="174"/>
      <c r="H101" s="156">
        <v>1988300</v>
      </c>
      <c r="I101" s="131">
        <v>1988300</v>
      </c>
      <c r="J101" s="132">
        <f t="shared" si="74"/>
        <v>0</v>
      </c>
      <c r="K101" s="213"/>
      <c r="L101" s="213"/>
      <c r="M101" s="122">
        <f t="shared" si="75"/>
        <v>0</v>
      </c>
      <c r="N101" s="122"/>
      <c r="O101" s="122">
        <v>1988200</v>
      </c>
      <c r="P101" s="122">
        <f t="shared" si="76"/>
        <v>1988200</v>
      </c>
      <c r="Q101" s="224">
        <v>2649757.38</v>
      </c>
      <c r="R101" s="225">
        <f>2700000-Q101</f>
        <v>50242.620000000112</v>
      </c>
      <c r="S101" s="135">
        <f t="shared" si="79"/>
        <v>2700000</v>
      </c>
      <c r="T101" s="136">
        <f t="shared" si="65"/>
        <v>0.9813916222222222</v>
      </c>
      <c r="U101" s="191">
        <f t="shared" si="66"/>
        <v>711700</v>
      </c>
      <c r="V101" s="137">
        <f t="shared" si="67"/>
        <v>-711800</v>
      </c>
      <c r="W101" s="201">
        <f t="shared" si="80"/>
        <v>-0.35801227240720251</v>
      </c>
      <c r="X101" s="154"/>
      <c r="Y101" s="155"/>
      <c r="Z101" s="156">
        <f>'[1]2021-22'!C669+SUM('[1]2021-22'!C683:C684)+'[1]2021-22'!C695+'[1]2021-22'!C727</f>
        <v>1757228.4800000002</v>
      </c>
      <c r="AA101" s="200">
        <f t="shared" si="69"/>
        <v>230971.51999999979</v>
      </c>
      <c r="AB101" s="201">
        <f t="shared" si="70"/>
        <v>0.13144080159684174</v>
      </c>
      <c r="AC101" s="155"/>
      <c r="AD101" s="156">
        <v>20266.169999999998</v>
      </c>
      <c r="AE101" s="200">
        <f t="shared" si="71"/>
        <v>2679733.83</v>
      </c>
      <c r="AF101" s="201">
        <f t="shared" si="72"/>
        <v>132.22694914727353</v>
      </c>
      <c r="AH101" s="156">
        <v>2101858.7800000003</v>
      </c>
      <c r="AI101" s="200">
        <f t="shared" si="73"/>
        <v>598141.21999999974</v>
      </c>
      <c r="AJ101" s="201">
        <f t="shared" si="78"/>
        <v>0.28457726355906732</v>
      </c>
    </row>
    <row r="102" spans="1:36" ht="13.35" hidden="1" customHeight="1" outlineLevel="1" x14ac:dyDescent="0.3">
      <c r="A102" s="51" t="s">
        <v>177</v>
      </c>
      <c r="B102" s="51" t="s">
        <v>173</v>
      </c>
      <c r="C102" s="1"/>
      <c r="E102" s="172"/>
      <c r="F102" s="173"/>
      <c r="G102" s="174"/>
      <c r="H102" s="156">
        <v>531400</v>
      </c>
      <c r="I102" s="131">
        <v>531400</v>
      </c>
      <c r="J102" s="132">
        <f t="shared" si="74"/>
        <v>0</v>
      </c>
      <c r="K102" s="213"/>
      <c r="L102" s="213"/>
      <c r="M102" s="122">
        <f t="shared" si="75"/>
        <v>0</v>
      </c>
      <c r="N102" s="122"/>
      <c r="O102" s="122">
        <v>531500</v>
      </c>
      <c r="P102" s="122">
        <f t="shared" si="76"/>
        <v>531500</v>
      </c>
      <c r="Q102" s="224">
        <v>845243.17</v>
      </c>
      <c r="R102" s="225">
        <f>900000-Q102</f>
        <v>54756.829999999958</v>
      </c>
      <c r="S102" s="135">
        <f t="shared" si="79"/>
        <v>900000</v>
      </c>
      <c r="T102" s="136">
        <f t="shared" si="65"/>
        <v>0.93915907777777785</v>
      </c>
      <c r="U102" s="191">
        <f t="shared" si="66"/>
        <v>368600</v>
      </c>
      <c r="V102" s="137">
        <f t="shared" si="67"/>
        <v>-368500</v>
      </c>
      <c r="W102" s="201">
        <f t="shared" si="80"/>
        <v>-0.69332079021636872</v>
      </c>
      <c r="X102" s="154"/>
      <c r="Y102" s="155"/>
      <c r="Z102" s="156">
        <f>'[1]2021-22'!C733</f>
        <v>430094.73</v>
      </c>
      <c r="AA102" s="200">
        <f t="shared" si="69"/>
        <v>101405.27000000002</v>
      </c>
      <c r="AB102" s="201">
        <f t="shared" si="70"/>
        <v>0.23577426768284285</v>
      </c>
      <c r="AC102" s="155"/>
      <c r="AD102" s="156">
        <v>2524.29</v>
      </c>
      <c r="AE102" s="200">
        <f t="shared" si="71"/>
        <v>897475.71</v>
      </c>
      <c r="AF102" s="201">
        <f t="shared" si="72"/>
        <v>355.53589722258533</v>
      </c>
      <c r="AH102" s="156">
        <v>420141.42000000004</v>
      </c>
      <c r="AI102" s="200">
        <f t="shared" si="73"/>
        <v>479858.57999999996</v>
      </c>
      <c r="AJ102" s="201">
        <f t="shared" si="78"/>
        <v>1.1421358551127854</v>
      </c>
    </row>
    <row r="103" spans="1:36" ht="13.35" hidden="1" customHeight="1" outlineLevel="1" x14ac:dyDescent="0.3">
      <c r="A103" s="51" t="s">
        <v>178</v>
      </c>
      <c r="B103" s="51" t="s">
        <v>179</v>
      </c>
      <c r="C103" s="1"/>
      <c r="E103" s="172"/>
      <c r="F103" s="173"/>
      <c r="G103" s="174"/>
      <c r="H103" s="130"/>
      <c r="I103" s="131"/>
      <c r="J103" s="132">
        <f t="shared" si="74"/>
        <v>0</v>
      </c>
      <c r="K103" s="213"/>
      <c r="L103" s="213"/>
      <c r="M103" s="122">
        <f t="shared" si="75"/>
        <v>0</v>
      </c>
      <c r="N103" s="122"/>
      <c r="O103" s="122"/>
      <c r="P103" s="122">
        <f t="shared" si="76"/>
        <v>0</v>
      </c>
      <c r="Q103" s="224">
        <f>17003.89+752069.18+537.81+16651+57.52+13325.83+2405.43</f>
        <v>802050.66000000015</v>
      </c>
      <c r="R103" s="225">
        <f>P103-Q103</f>
        <v>-802050.66000000015</v>
      </c>
      <c r="S103" s="135">
        <f t="shared" ref="S103" si="86">SUM(Q103:R103)</f>
        <v>0</v>
      </c>
      <c r="T103" s="136" t="str">
        <f t="shared" si="65"/>
        <v>-</v>
      </c>
      <c r="U103" s="191">
        <f t="shared" si="66"/>
        <v>0</v>
      </c>
      <c r="V103" s="137">
        <f t="shared" si="67"/>
        <v>0</v>
      </c>
      <c r="W103" s="201" t="str">
        <f t="shared" si="80"/>
        <v>-</v>
      </c>
      <c r="X103" s="154"/>
      <c r="Y103" s="155"/>
      <c r="Z103" s="156">
        <f>'[1]2021-22'!C737-'[1]2021-22'!C733+'[1]2021-22'!C748+'[1]2021-22'!C754+'[1]2021-22'!C759</f>
        <v>161091.31</v>
      </c>
      <c r="AA103" s="200">
        <f t="shared" si="69"/>
        <v>-161091.31</v>
      </c>
      <c r="AB103" s="201">
        <f t="shared" si="70"/>
        <v>-1</v>
      </c>
      <c r="AC103" s="155"/>
      <c r="AD103" s="156">
        <v>2558179.1799999997</v>
      </c>
      <c r="AE103" s="200">
        <f t="shared" si="71"/>
        <v>-2558179.1799999997</v>
      </c>
      <c r="AF103" s="201">
        <f t="shared" si="72"/>
        <v>-1</v>
      </c>
      <c r="AH103" s="156">
        <v>122971</v>
      </c>
      <c r="AI103" s="200">
        <f t="shared" si="73"/>
        <v>-122971</v>
      </c>
      <c r="AJ103" s="201">
        <f t="shared" si="78"/>
        <v>-1</v>
      </c>
    </row>
    <row r="104" spans="1:36" ht="13.35" customHeight="1" collapsed="1" x14ac:dyDescent="0.3">
      <c r="A104" s="239" t="s">
        <v>180</v>
      </c>
      <c r="B104" s="10"/>
      <c r="E104" s="203">
        <f>E79</f>
        <v>0</v>
      </c>
      <c r="F104" s="159">
        <f>F80</f>
        <v>187.91</v>
      </c>
      <c r="G104" s="160">
        <f>G79</f>
        <v>-187.85</v>
      </c>
      <c r="H104" s="163">
        <f t="shared" ref="H104:S104" si="87">SUM(H79:H103)</f>
        <v>29183100</v>
      </c>
      <c r="I104" s="163">
        <f t="shared" si="87"/>
        <v>29183100</v>
      </c>
      <c r="J104" s="163">
        <f t="shared" si="87"/>
        <v>0</v>
      </c>
      <c r="K104" s="163">
        <f t="shared" si="87"/>
        <v>29367400</v>
      </c>
      <c r="L104" s="163">
        <f t="shared" si="87"/>
        <v>489900</v>
      </c>
      <c r="M104" s="163">
        <f t="shared" si="87"/>
        <v>29857300</v>
      </c>
      <c r="N104" s="163">
        <f t="shared" si="87"/>
        <v>0</v>
      </c>
      <c r="O104" s="164">
        <f t="shared" si="87"/>
        <v>-184500</v>
      </c>
      <c r="P104" s="163">
        <f t="shared" si="87"/>
        <v>29672800</v>
      </c>
      <c r="Q104" s="165">
        <f t="shared" si="87"/>
        <v>25168982.59</v>
      </c>
      <c r="R104" s="163">
        <f t="shared" si="87"/>
        <v>4510065.5845670551</v>
      </c>
      <c r="S104" s="163">
        <f t="shared" si="87"/>
        <v>29679048.174567055</v>
      </c>
      <c r="T104" s="166">
        <f>IF(ISERR(Q104/S104),"-",Q104/S104)</f>
        <v>0.84803873904447258</v>
      </c>
      <c r="U104" s="205">
        <f>SUM(U79:U103)</f>
        <v>295948.17456705612</v>
      </c>
      <c r="V104" s="167">
        <f>SUM(V79:V103)</f>
        <v>-6248.1745670561213</v>
      </c>
      <c r="W104" s="168">
        <f t="shared" si="80"/>
        <v>-2.105690924704147E-4</v>
      </c>
      <c r="X104" s="169"/>
      <c r="Y104" s="155"/>
      <c r="Z104" s="170">
        <f>SUM(Z79:Z103)</f>
        <v>22059894.790000003</v>
      </c>
      <c r="AA104" s="165">
        <f>SUM(AA79:AA103)</f>
        <v>-19531194.790000003</v>
      </c>
      <c r="AB104" s="168">
        <f t="shared" si="70"/>
        <v>-0.88537116681325756</v>
      </c>
      <c r="AC104" s="155"/>
      <c r="AD104" s="170">
        <f>SUM(AD79:AD103)</f>
        <v>23307340.439999998</v>
      </c>
      <c r="AE104" s="165">
        <f>SUM(AE79:AE103)</f>
        <v>6171707.7345670573</v>
      </c>
      <c r="AF104" s="168">
        <f t="shared" si="72"/>
        <v>0.2647967386263938</v>
      </c>
      <c r="AH104" s="170">
        <v>23188843.079999998</v>
      </c>
      <c r="AI104" s="206">
        <f>SUM(AI79:AI103)</f>
        <v>6290205.0945670549</v>
      </c>
      <c r="AJ104" s="168">
        <f t="shared" si="78"/>
        <v>0.27125997932998458</v>
      </c>
    </row>
    <row r="105" spans="1:36" ht="13.35" customHeight="1" x14ac:dyDescent="0.3">
      <c r="A105" s="10"/>
      <c r="B105" s="10"/>
      <c r="E105" s="172"/>
      <c r="F105" s="173"/>
      <c r="G105" s="174"/>
      <c r="H105" s="172"/>
      <c r="Q105" s="96"/>
      <c r="U105" s="100"/>
      <c r="V105" s="187"/>
      <c r="W105" s="188"/>
      <c r="X105" s="154"/>
      <c r="Y105" s="155"/>
      <c r="Z105" s="96"/>
      <c r="AA105" s="101"/>
      <c r="AB105" s="102"/>
      <c r="AC105" s="155"/>
      <c r="AD105" s="96"/>
      <c r="AE105" s="101"/>
      <c r="AF105" s="102"/>
      <c r="AH105" s="96"/>
      <c r="AI105" s="101"/>
      <c r="AJ105" s="102"/>
    </row>
    <row r="106" spans="1:36" ht="13.35" customHeight="1" x14ac:dyDescent="0.3">
      <c r="A106" s="10"/>
      <c r="B106" s="10"/>
      <c r="E106" s="172"/>
      <c r="F106" s="173"/>
      <c r="G106" s="174"/>
      <c r="H106" s="240"/>
      <c r="Q106" s="96"/>
      <c r="U106" s="100"/>
      <c r="V106" s="187"/>
      <c r="W106" s="241"/>
      <c r="X106" s="187"/>
      <c r="Y106" s="242"/>
      <c r="Z106" s="96"/>
      <c r="AA106" s="101"/>
      <c r="AB106" s="102"/>
      <c r="AC106" s="242"/>
      <c r="AD106" s="96"/>
      <c r="AE106" s="101"/>
      <c r="AF106" s="102"/>
      <c r="AH106" s="96"/>
      <c r="AI106" s="101"/>
      <c r="AJ106" s="102"/>
    </row>
    <row r="107" spans="1:36" ht="13.35" hidden="1" customHeight="1" outlineLevel="1" x14ac:dyDescent="0.3">
      <c r="A107" s="103" t="s">
        <v>181</v>
      </c>
      <c r="B107" s="10"/>
      <c r="E107" s="172"/>
      <c r="F107" s="173"/>
      <c r="G107" s="174"/>
      <c r="H107" s="172"/>
      <c r="Q107" s="96"/>
      <c r="U107" s="100"/>
      <c r="V107" s="187"/>
      <c r="W107" s="188"/>
      <c r="X107" s="154"/>
      <c r="Y107" s="155"/>
      <c r="Z107" s="96"/>
      <c r="AA107" s="101"/>
      <c r="AB107" s="102"/>
      <c r="AC107" s="155"/>
      <c r="AD107" s="96"/>
      <c r="AE107" s="101"/>
      <c r="AF107" s="102"/>
      <c r="AH107" s="96"/>
      <c r="AI107" s="101"/>
      <c r="AJ107" s="102"/>
    </row>
    <row r="108" spans="1:36" ht="13.35" hidden="1" customHeight="1" outlineLevel="1" x14ac:dyDescent="0.3">
      <c r="A108" s="51" t="s">
        <v>182</v>
      </c>
      <c r="B108" s="51" t="s">
        <v>183</v>
      </c>
      <c r="D108" s="105" t="s">
        <v>49</v>
      </c>
      <c r="E108" s="106"/>
      <c r="F108" s="173">
        <v>257</v>
      </c>
      <c r="G108" s="108">
        <f t="shared" ref="G108:G109" si="88">E108-F108</f>
        <v>-257</v>
      </c>
      <c r="H108" s="210">
        <f>7744400+26600</f>
        <v>7771000</v>
      </c>
      <c r="I108" s="110">
        <v>7771000</v>
      </c>
      <c r="J108" s="121">
        <f>I108-H108</f>
        <v>0</v>
      </c>
      <c r="K108" s="212">
        <v>7744400</v>
      </c>
      <c r="L108" s="212"/>
      <c r="M108" s="110">
        <f>K108+L108</f>
        <v>7744400</v>
      </c>
      <c r="N108" s="110"/>
      <c r="O108" s="110">
        <v>26600</v>
      </c>
      <c r="P108" s="110">
        <f>M108+N108+O108</f>
        <v>7771000</v>
      </c>
      <c r="Q108" s="176">
        <v>6882820.8600000003</v>
      </c>
      <c r="R108" s="175">
        <f>'[1]Salary Projections'!Z10-'[1]Operating Results'!Q108</f>
        <v>805863.35800000001</v>
      </c>
      <c r="S108" s="215">
        <f>SUM(Q108:R108)</f>
        <v>7688684.2180000003</v>
      </c>
      <c r="T108" s="136">
        <f t="shared" ref="T108:T116" si="89">IF(ISERR(Q108/S108),"-",Q108/S108)</f>
        <v>0.89518839177795972</v>
      </c>
      <c r="U108" s="191">
        <f t="shared" ref="U108:U115" si="90">S108-I108</f>
        <v>-82315.781999999657</v>
      </c>
      <c r="V108" s="233">
        <f t="shared" ref="V108:V115" si="91">P108-S108</f>
        <v>82315.781999999657</v>
      </c>
      <c r="W108" s="201">
        <f>IF(ISERR(V108/P108),"-",V108/P108)</f>
        <v>1.0592688457083986E-2</v>
      </c>
      <c r="X108" s="154"/>
      <c r="Y108" s="155"/>
      <c r="Z108" s="118">
        <f>'[1]2021-22'!C762</f>
        <v>5867089.8700000001</v>
      </c>
      <c r="AA108" s="223">
        <f>O108-Z108</f>
        <v>-5840489.8700000001</v>
      </c>
      <c r="AB108" s="201">
        <f>IF(ISERR(AA108/Z108),"-",AA108/Z108)</f>
        <v>-0.99546623614272334</v>
      </c>
      <c r="AC108" s="155"/>
      <c r="AD108" s="118">
        <v>6584693.5</v>
      </c>
      <c r="AE108" s="223">
        <f>S108-AD108</f>
        <v>1103990.7180000003</v>
      </c>
      <c r="AF108" s="201">
        <f>IF(ISERR(AE108/AD108),"-",AE108/AD108)</f>
        <v>0.16766015274666929</v>
      </c>
      <c r="AH108" s="118">
        <v>6530702.9100000001</v>
      </c>
      <c r="AI108" s="223">
        <f>S108-AH108</f>
        <v>1157981.3080000002</v>
      </c>
      <c r="AJ108" s="201">
        <f t="shared" ref="AJ108" si="92">IF(ISERR(AI108/AH108),"-",AI108/AH108)</f>
        <v>0.17731342612858195</v>
      </c>
    </row>
    <row r="109" spans="1:36" ht="13.35" hidden="1" customHeight="1" outlineLevel="1" x14ac:dyDescent="0.3">
      <c r="A109" s="51"/>
      <c r="B109" s="51"/>
      <c r="D109" s="105" t="s">
        <v>50</v>
      </c>
      <c r="E109" s="106"/>
      <c r="F109" s="173">
        <f>F108</f>
        <v>257</v>
      </c>
      <c r="G109" s="108">
        <f t="shared" si="88"/>
        <v>-257</v>
      </c>
      <c r="H109" s="210"/>
      <c r="I109" s="110"/>
      <c r="J109" s="121"/>
      <c r="K109" s="212"/>
      <c r="L109" s="212"/>
      <c r="M109" s="110"/>
      <c r="N109" s="110"/>
      <c r="O109" s="110"/>
      <c r="P109" s="122"/>
      <c r="Q109" s="176"/>
      <c r="R109" s="175"/>
      <c r="S109" s="215"/>
      <c r="T109" s="136"/>
      <c r="U109" s="191"/>
      <c r="V109" s="233"/>
      <c r="W109" s="201"/>
      <c r="X109" s="154"/>
      <c r="Y109" s="155"/>
      <c r="Z109" s="124"/>
      <c r="AA109" s="223"/>
      <c r="AB109" s="201"/>
      <c r="AC109" s="155"/>
      <c r="AD109" s="124"/>
      <c r="AE109" s="223"/>
      <c r="AF109" s="201"/>
      <c r="AH109" s="124"/>
      <c r="AI109" s="223"/>
      <c r="AJ109" s="201"/>
    </row>
    <row r="110" spans="1:36" ht="13.35" hidden="1" customHeight="1" outlineLevel="1" x14ac:dyDescent="0.3">
      <c r="A110" s="51" t="s">
        <v>184</v>
      </c>
      <c r="B110" s="104" t="s">
        <v>138</v>
      </c>
      <c r="D110" s="105"/>
      <c r="E110" s="172"/>
      <c r="F110" s="173"/>
      <c r="G110" s="202"/>
      <c r="H110" s="130"/>
      <c r="I110" s="131"/>
      <c r="J110" s="132">
        <f>I110-H110</f>
        <v>0</v>
      </c>
      <c r="K110" s="212"/>
      <c r="L110" s="212"/>
      <c r="M110" s="122">
        <f>K110+L110</f>
        <v>0</v>
      </c>
      <c r="N110" s="122"/>
      <c r="O110" s="122"/>
      <c r="P110" s="122">
        <f>M110+N110+O110</f>
        <v>0</v>
      </c>
      <c r="Q110" s="176">
        <v>326512.77</v>
      </c>
      <c r="R110" s="175">
        <f>'[1]Salary Projections'!Z17-'[1]Operating Results'!Q110</f>
        <v>77513.68200000003</v>
      </c>
      <c r="S110" s="135">
        <f>SUM(Q110:R110)</f>
        <v>404026.45200000005</v>
      </c>
      <c r="T110" s="136">
        <f t="shared" si="89"/>
        <v>0.80814701211691942</v>
      </c>
      <c r="U110" s="191">
        <f t="shared" si="90"/>
        <v>404026.45200000005</v>
      </c>
      <c r="V110" s="192">
        <f t="shared" si="91"/>
        <v>-404026.45200000005</v>
      </c>
      <c r="W110" s="243" t="str">
        <f t="shared" ref="W110:W116" si="93">IF(ISERR(V110/P110),"-",V110/P110)</f>
        <v>-</v>
      </c>
      <c r="X110" s="154"/>
      <c r="Y110" s="155"/>
      <c r="Z110" s="156">
        <f>'[1]2021-22'!C763</f>
        <v>114544.3</v>
      </c>
      <c r="AA110" s="195">
        <f t="shared" ref="AA110:AA115" si="94">O110-Z110</f>
        <v>-114544.3</v>
      </c>
      <c r="AB110" s="115">
        <f t="shared" ref="AB110:AB116" si="95">IF(ISERR(AA110/Z110),"-",AA110/Z110)</f>
        <v>-1</v>
      </c>
      <c r="AC110" s="155"/>
      <c r="AD110" s="156">
        <v>97369.34</v>
      </c>
      <c r="AE110" s="195">
        <f t="shared" ref="AE110:AE115" si="96">S110-AD110</f>
        <v>306657.11200000008</v>
      </c>
      <c r="AF110" s="115">
        <f t="shared" ref="AF110:AF116" si="97">IF(ISERR(AE110/AD110),"-",AE110/AD110)</f>
        <v>3.1494216968092839</v>
      </c>
      <c r="AH110" s="156">
        <v>108762.18</v>
      </c>
      <c r="AI110" s="195">
        <f t="shared" ref="AI110:AI115" si="98">S110-AH110</f>
        <v>295264.27200000006</v>
      </c>
      <c r="AJ110" s="115">
        <f t="shared" ref="AJ110:AJ116" si="99">IF(ISERR(AI110/AH110),"-",AI110/AH110)</f>
        <v>2.7147697113095752</v>
      </c>
    </row>
    <row r="111" spans="1:36" ht="13.35" hidden="1" customHeight="1" outlineLevel="1" x14ac:dyDescent="0.3">
      <c r="A111" s="104" t="s">
        <v>185</v>
      </c>
      <c r="B111" s="104" t="s">
        <v>142</v>
      </c>
      <c r="D111" s="105"/>
      <c r="E111" s="172"/>
      <c r="F111" s="173"/>
      <c r="G111" s="202"/>
      <c r="H111" s="130"/>
      <c r="I111" s="131"/>
      <c r="J111" s="132">
        <f t="shared" ref="J111:J115" si="100">I111-H111</f>
        <v>0</v>
      </c>
      <c r="K111" s="212"/>
      <c r="L111" s="213"/>
      <c r="M111" s="122">
        <f t="shared" ref="M111:M115" si="101">K111+L111</f>
        <v>0</v>
      </c>
      <c r="N111" s="122"/>
      <c r="O111" s="122"/>
      <c r="P111" s="122">
        <f t="shared" ref="P111:P115" si="102">M111+N111+O111</f>
        <v>0</v>
      </c>
      <c r="Q111" s="176">
        <v>87391.69</v>
      </c>
      <c r="R111" s="175">
        <f>'[1]Salary Projections'!Z24-'[1]Operating Results'!Q111</f>
        <v>8704.6159999999945</v>
      </c>
      <c r="S111" s="135">
        <f t="shared" ref="S111:S115" si="103">SUM(Q111:R111)</f>
        <v>96096.305999999997</v>
      </c>
      <c r="T111" s="136">
        <f t="shared" si="89"/>
        <v>0.90941778760985881</v>
      </c>
      <c r="U111" s="191">
        <f t="shared" si="90"/>
        <v>96096.305999999997</v>
      </c>
      <c r="V111" s="192">
        <f t="shared" si="91"/>
        <v>-96096.305999999997</v>
      </c>
      <c r="W111" s="243" t="str">
        <f t="shared" si="93"/>
        <v>-</v>
      </c>
      <c r="X111" s="154"/>
      <c r="Y111" s="155"/>
      <c r="Z111" s="124">
        <v>0</v>
      </c>
      <c r="AA111" s="195">
        <f t="shared" si="94"/>
        <v>0</v>
      </c>
      <c r="AB111" s="115" t="str">
        <f t="shared" si="95"/>
        <v>-</v>
      </c>
      <c r="AC111" s="155"/>
      <c r="AD111" s="124">
        <v>10478.870000000001</v>
      </c>
      <c r="AE111" s="195">
        <f t="shared" si="96"/>
        <v>85617.436000000002</v>
      </c>
      <c r="AF111" s="115">
        <f t="shared" si="97"/>
        <v>8.1704836494774717</v>
      </c>
      <c r="AH111" s="124">
        <v>0</v>
      </c>
      <c r="AI111" s="195">
        <f t="shared" si="98"/>
        <v>96096.305999999997</v>
      </c>
      <c r="AJ111" s="115" t="str">
        <f t="shared" si="99"/>
        <v>-</v>
      </c>
    </row>
    <row r="112" spans="1:36" ht="13.35" hidden="1" customHeight="1" outlineLevel="1" x14ac:dyDescent="0.3">
      <c r="A112" s="51" t="s">
        <v>186</v>
      </c>
      <c r="B112" s="51" t="s">
        <v>187</v>
      </c>
      <c r="E112" s="172"/>
      <c r="F112" s="173"/>
      <c r="G112" s="174"/>
      <c r="H112" s="156">
        <v>428900</v>
      </c>
      <c r="I112" s="131">
        <v>428900</v>
      </c>
      <c r="J112" s="132">
        <f t="shared" si="100"/>
        <v>0</v>
      </c>
      <c r="K112" s="213">
        <v>428900</v>
      </c>
      <c r="L112" s="213"/>
      <c r="M112" s="122">
        <f t="shared" si="101"/>
        <v>428900</v>
      </c>
      <c r="N112" s="122"/>
      <c r="O112" s="122"/>
      <c r="P112" s="122">
        <f t="shared" si="102"/>
        <v>428900</v>
      </c>
      <c r="Q112" s="224">
        <v>901509.77</v>
      </c>
      <c r="R112" s="225">
        <f>'[1]Salary Projections'!Z31-'[1]Operating Results'!Q112</f>
        <v>164771.74</v>
      </c>
      <c r="S112" s="135">
        <f t="shared" si="103"/>
        <v>1066281.51</v>
      </c>
      <c r="T112" s="136">
        <f t="shared" si="89"/>
        <v>0.84547069563271338</v>
      </c>
      <c r="U112" s="191">
        <f t="shared" si="90"/>
        <v>637381.51</v>
      </c>
      <c r="V112" s="192">
        <f t="shared" si="91"/>
        <v>-637381.51</v>
      </c>
      <c r="W112" s="243">
        <f t="shared" si="93"/>
        <v>-1.4860841921193753</v>
      </c>
      <c r="X112" s="146"/>
      <c r="Y112" s="147"/>
      <c r="Z112" s="156">
        <f>'[1]2021-22'!C764</f>
        <v>940858.08</v>
      </c>
      <c r="AA112" s="195">
        <f t="shared" si="94"/>
        <v>-940858.08</v>
      </c>
      <c r="AB112" s="115">
        <f t="shared" si="95"/>
        <v>-1</v>
      </c>
      <c r="AC112" s="147"/>
      <c r="AD112" s="156">
        <v>690877.07</v>
      </c>
      <c r="AE112" s="195">
        <f t="shared" si="96"/>
        <v>375404.44000000006</v>
      </c>
      <c r="AF112" s="115">
        <f t="shared" si="97"/>
        <v>0.54337371480573249</v>
      </c>
      <c r="AH112" s="156">
        <v>665339.5</v>
      </c>
      <c r="AI112" s="195">
        <f t="shared" si="98"/>
        <v>400942.01</v>
      </c>
      <c r="AJ112" s="115">
        <f t="shared" si="99"/>
        <v>0.60261266616516829</v>
      </c>
    </row>
    <row r="113" spans="1:36" ht="13.35" hidden="1" customHeight="1" outlineLevel="1" x14ac:dyDescent="0.3">
      <c r="A113" s="51" t="s">
        <v>188</v>
      </c>
      <c r="B113" s="51" t="s">
        <v>189</v>
      </c>
      <c r="E113" s="172"/>
      <c r="F113" s="173"/>
      <c r="G113" s="174"/>
      <c r="H113" s="156">
        <v>104000</v>
      </c>
      <c r="I113" s="131">
        <v>104000</v>
      </c>
      <c r="J113" s="132">
        <f t="shared" si="100"/>
        <v>0</v>
      </c>
      <c r="K113" s="213">
        <f>104100-800</f>
        <v>103300</v>
      </c>
      <c r="L113" s="213"/>
      <c r="M113" s="122">
        <f t="shared" si="101"/>
        <v>103300</v>
      </c>
      <c r="N113" s="122"/>
      <c r="O113" s="122"/>
      <c r="P113" s="122">
        <f t="shared" si="102"/>
        <v>103300</v>
      </c>
      <c r="Q113" s="224">
        <v>56716.11</v>
      </c>
      <c r="R113" s="225">
        <f>90892-Q113</f>
        <v>34175.89</v>
      </c>
      <c r="S113" s="135">
        <f t="shared" si="103"/>
        <v>90892</v>
      </c>
      <c r="T113" s="136">
        <f t="shared" si="89"/>
        <v>0.62399452096994235</v>
      </c>
      <c r="U113" s="191">
        <f t="shared" si="90"/>
        <v>-13108</v>
      </c>
      <c r="V113" s="192">
        <f t="shared" si="91"/>
        <v>12408</v>
      </c>
      <c r="W113" s="243">
        <f t="shared" si="93"/>
        <v>0.12011616650532429</v>
      </c>
      <c r="X113" s="154"/>
      <c r="Y113" s="155"/>
      <c r="Z113" s="156">
        <f>SUM('[1]2021-22'!C770:C771)</f>
        <v>44631.44</v>
      </c>
      <c r="AA113" s="195">
        <f t="shared" si="94"/>
        <v>-44631.44</v>
      </c>
      <c r="AB113" s="115">
        <f t="shared" si="95"/>
        <v>-1</v>
      </c>
      <c r="AC113" s="155"/>
      <c r="AD113" s="156">
        <v>59031.1</v>
      </c>
      <c r="AE113" s="195">
        <f t="shared" si="96"/>
        <v>31860.9</v>
      </c>
      <c r="AF113" s="115">
        <f t="shared" si="97"/>
        <v>0.53973075209508214</v>
      </c>
      <c r="AH113" s="156">
        <v>64959.88</v>
      </c>
      <c r="AI113" s="195">
        <f t="shared" si="98"/>
        <v>25932.120000000003</v>
      </c>
      <c r="AJ113" s="115">
        <f t="shared" si="99"/>
        <v>0.3992020921220914</v>
      </c>
    </row>
    <row r="114" spans="1:36" s="104" customFormat="1" ht="13.35" hidden="1" customHeight="1" outlineLevel="1" x14ac:dyDescent="0.2">
      <c r="A114" s="104" t="s">
        <v>190</v>
      </c>
      <c r="B114" s="104" t="s">
        <v>191</v>
      </c>
      <c r="E114" s="244"/>
      <c r="F114" s="245"/>
      <c r="G114" s="246"/>
      <c r="H114" s="130">
        <f>1510700+2104100+3709500</f>
        <v>7324300</v>
      </c>
      <c r="I114" s="131">
        <v>7324300</v>
      </c>
      <c r="J114" s="132">
        <f t="shared" si="100"/>
        <v>0</v>
      </c>
      <c r="K114" s="247">
        <v>7324300</v>
      </c>
      <c r="L114" s="247">
        <f>112600</f>
        <v>112600</v>
      </c>
      <c r="M114" s="122">
        <f t="shared" si="101"/>
        <v>7436900</v>
      </c>
      <c r="N114" s="122"/>
      <c r="O114" s="122"/>
      <c r="P114" s="122">
        <f t="shared" si="102"/>
        <v>7436900</v>
      </c>
      <c r="Q114" s="248">
        <v>4686412.57</v>
      </c>
      <c r="R114" s="249">
        <f>'[1]Bus Ops'!O39-'[1]Operating Results'!Q114</f>
        <v>1737027.2799999993</v>
      </c>
      <c r="S114" s="135">
        <f t="shared" si="103"/>
        <v>6423439.8499999996</v>
      </c>
      <c r="T114" s="136">
        <f t="shared" si="89"/>
        <v>0.72957989479733365</v>
      </c>
      <c r="U114" s="191">
        <f t="shared" si="90"/>
        <v>-900860.15000000037</v>
      </c>
      <c r="V114" s="192">
        <f t="shared" si="91"/>
        <v>1013460.1500000004</v>
      </c>
      <c r="W114" s="243">
        <f t="shared" si="93"/>
        <v>0.13627454315642276</v>
      </c>
      <c r="X114" s="146"/>
      <c r="Y114" s="147"/>
      <c r="Z114" s="130">
        <f>'[1]2021-22'!C774</f>
        <v>5189074.3499999996</v>
      </c>
      <c r="AA114" s="195">
        <f t="shared" si="94"/>
        <v>-5189074.3499999996</v>
      </c>
      <c r="AB114" s="115">
        <f t="shared" si="95"/>
        <v>-1</v>
      </c>
      <c r="AC114" s="147"/>
      <c r="AD114" s="130">
        <v>5337755.04</v>
      </c>
      <c r="AE114" s="195">
        <f t="shared" si="96"/>
        <v>1085684.8099999996</v>
      </c>
      <c r="AF114" s="115">
        <f t="shared" si="97"/>
        <v>0.20339727129928384</v>
      </c>
      <c r="AH114" s="130">
        <v>5532383.8899999997</v>
      </c>
      <c r="AI114" s="195">
        <f t="shared" si="98"/>
        <v>891055.96</v>
      </c>
      <c r="AJ114" s="115">
        <f t="shared" si="99"/>
        <v>0.16106184561968276</v>
      </c>
    </row>
    <row r="115" spans="1:36" s="104" customFormat="1" ht="13.35" hidden="1" customHeight="1" outlineLevel="1" x14ac:dyDescent="0.2">
      <c r="A115" s="104" t="s">
        <v>192</v>
      </c>
      <c r="B115" s="104" t="s">
        <v>69</v>
      </c>
      <c r="E115" s="244"/>
      <c r="F115" s="245"/>
      <c r="G115" s="246"/>
      <c r="H115" s="130"/>
      <c r="I115" s="131"/>
      <c r="J115" s="132">
        <f t="shared" si="100"/>
        <v>0</v>
      </c>
      <c r="K115" s="247">
        <v>131600</v>
      </c>
      <c r="L115" s="247"/>
      <c r="M115" s="122">
        <f t="shared" si="101"/>
        <v>131600</v>
      </c>
      <c r="N115" s="122"/>
      <c r="O115" s="122">
        <v>-131600</v>
      </c>
      <c r="P115" s="122">
        <f t="shared" si="102"/>
        <v>0</v>
      </c>
      <c r="Q115" s="248">
        <v>341706.84</v>
      </c>
      <c r="R115" s="249">
        <f>350000-Q115</f>
        <v>8293.1599999999744</v>
      </c>
      <c r="S115" s="135">
        <f t="shared" si="103"/>
        <v>350000</v>
      </c>
      <c r="T115" s="136">
        <f t="shared" si="89"/>
        <v>0.97630525714285721</v>
      </c>
      <c r="U115" s="191">
        <f t="shared" si="90"/>
        <v>350000</v>
      </c>
      <c r="V115" s="192">
        <f t="shared" si="91"/>
        <v>-350000</v>
      </c>
      <c r="W115" s="243" t="str">
        <f t="shared" si="93"/>
        <v>-</v>
      </c>
      <c r="X115" s="250"/>
      <c r="Y115" s="147"/>
      <c r="Z115" s="130">
        <f>SUM('[1]2021-22'!C765:C769)+SUM('[1]2021-22'!C772:C773)+SUM('[1]2021-22'!C775:C795)</f>
        <v>171135.62</v>
      </c>
      <c r="AA115" s="195">
        <f t="shared" si="94"/>
        <v>-302735.62</v>
      </c>
      <c r="AB115" s="115">
        <f t="shared" si="95"/>
        <v>-1.7689807650797653</v>
      </c>
      <c r="AC115" s="147"/>
      <c r="AD115" s="130">
        <v>66721.549999999988</v>
      </c>
      <c r="AE115" s="195">
        <f t="shared" si="96"/>
        <v>283278.45</v>
      </c>
      <c r="AF115" s="115">
        <f t="shared" si="97"/>
        <v>4.2456814927111264</v>
      </c>
      <c r="AH115" s="130">
        <v>70454.89</v>
      </c>
      <c r="AI115" s="195">
        <f t="shared" si="98"/>
        <v>279545.11</v>
      </c>
      <c r="AJ115" s="115">
        <f t="shared" si="99"/>
        <v>3.9677176417421132</v>
      </c>
    </row>
    <row r="116" spans="1:36" ht="13.35" customHeight="1" collapsed="1" x14ac:dyDescent="0.3">
      <c r="A116" s="1" t="s">
        <v>193</v>
      </c>
      <c r="B116" s="10"/>
      <c r="E116" s="203">
        <f>E109</f>
        <v>0</v>
      </c>
      <c r="F116" s="159">
        <f>F109</f>
        <v>257</v>
      </c>
      <c r="G116" s="160">
        <f>G109</f>
        <v>-257</v>
      </c>
      <c r="H116" s="163">
        <f t="shared" ref="H116:S116" si="104">SUM(H108:H115)</f>
        <v>15628200</v>
      </c>
      <c r="I116" s="163">
        <f t="shared" si="104"/>
        <v>15628200</v>
      </c>
      <c r="J116" s="204">
        <f t="shared" si="104"/>
        <v>0</v>
      </c>
      <c r="K116" s="163">
        <f t="shared" si="104"/>
        <v>15732500</v>
      </c>
      <c r="L116" s="163">
        <f t="shared" si="104"/>
        <v>112600</v>
      </c>
      <c r="M116" s="163">
        <f t="shared" si="104"/>
        <v>15845100</v>
      </c>
      <c r="N116" s="163">
        <f t="shared" si="104"/>
        <v>0</v>
      </c>
      <c r="O116" s="164">
        <f t="shared" si="104"/>
        <v>-105000</v>
      </c>
      <c r="P116" s="163">
        <f t="shared" si="104"/>
        <v>15740100</v>
      </c>
      <c r="Q116" s="165">
        <f t="shared" si="104"/>
        <v>13283070.610000003</v>
      </c>
      <c r="R116" s="163">
        <f t="shared" si="104"/>
        <v>2836349.7259999998</v>
      </c>
      <c r="S116" s="163">
        <f t="shared" si="104"/>
        <v>16119420.335999999</v>
      </c>
      <c r="T116" s="166">
        <f t="shared" si="89"/>
        <v>0.82404145639992477</v>
      </c>
      <c r="U116" s="205">
        <f>SUM(U108:U115)</f>
        <v>491220.33600000013</v>
      </c>
      <c r="V116" s="167">
        <f>SUM(V108:V115)</f>
        <v>-379320.33600000013</v>
      </c>
      <c r="W116" s="168">
        <f t="shared" si="93"/>
        <v>-2.4098978786665913E-2</v>
      </c>
      <c r="X116" s="169"/>
      <c r="Y116" s="155"/>
      <c r="Z116" s="170">
        <f>SUM(Z108:Z115)</f>
        <v>12327333.659999998</v>
      </c>
      <c r="AA116" s="206">
        <f>SUM(AA108:AA115)</f>
        <v>-12432333.659999998</v>
      </c>
      <c r="AB116" s="168">
        <f t="shared" si="95"/>
        <v>-1.0085176570129439</v>
      </c>
      <c r="AC116" s="155"/>
      <c r="AD116" s="170">
        <f>SUM(AD108:AD115)</f>
        <v>12846926.470000001</v>
      </c>
      <c r="AE116" s="206">
        <f>SUM(AE108:AE115)</f>
        <v>3272493.8660000004</v>
      </c>
      <c r="AF116" s="168">
        <f t="shared" si="97"/>
        <v>0.25472971092672569</v>
      </c>
      <c r="AH116" s="170">
        <v>12972603.25</v>
      </c>
      <c r="AI116" s="206">
        <f>SUM(AI108:AI115)</f>
        <v>3146817.0860000006</v>
      </c>
      <c r="AJ116" s="168">
        <f t="shared" si="99"/>
        <v>0.24257406361363903</v>
      </c>
    </row>
    <row r="117" spans="1:36" ht="13.35" customHeight="1" x14ac:dyDescent="0.3">
      <c r="A117" s="10"/>
      <c r="B117" s="10"/>
      <c r="E117" s="172"/>
      <c r="F117" s="173"/>
      <c r="G117" s="174"/>
      <c r="H117" s="172"/>
      <c r="Q117" s="96"/>
      <c r="U117" s="100"/>
      <c r="V117" s="187"/>
      <c r="W117" s="188"/>
      <c r="X117" s="154"/>
      <c r="Y117" s="155"/>
      <c r="Z117" s="96"/>
      <c r="AA117" s="101"/>
      <c r="AB117" s="102"/>
      <c r="AC117" s="155"/>
      <c r="AD117" s="96"/>
      <c r="AE117" s="101"/>
      <c r="AF117" s="102"/>
      <c r="AH117" s="96"/>
      <c r="AI117" s="101"/>
      <c r="AJ117" s="102"/>
    </row>
    <row r="118" spans="1:36" ht="13.35" customHeight="1" x14ac:dyDescent="0.3">
      <c r="A118" s="10"/>
      <c r="B118" s="10"/>
      <c r="E118" s="172"/>
      <c r="F118" s="173"/>
      <c r="G118" s="174"/>
      <c r="H118" s="172"/>
      <c r="I118" s="184"/>
      <c r="J118" s="184"/>
      <c r="K118" s="184"/>
      <c r="L118" s="184"/>
      <c r="M118" s="184"/>
      <c r="N118" s="184"/>
      <c r="O118" s="184"/>
      <c r="P118" s="184"/>
      <c r="Q118" s="185"/>
      <c r="R118" s="184"/>
      <c r="S118" s="184"/>
      <c r="T118" s="184"/>
      <c r="U118" s="186"/>
      <c r="V118" s="187"/>
      <c r="W118" s="188"/>
      <c r="X118" s="154"/>
      <c r="Y118" s="155"/>
      <c r="Z118" s="96"/>
      <c r="AA118" s="101"/>
      <c r="AB118" s="102"/>
      <c r="AC118" s="155"/>
      <c r="AD118" s="96"/>
      <c r="AE118" s="101"/>
      <c r="AF118" s="102"/>
      <c r="AH118" s="96"/>
      <c r="AI118" s="101"/>
      <c r="AJ118" s="102"/>
    </row>
    <row r="119" spans="1:36" ht="13.35" hidden="1" customHeight="1" outlineLevel="1" x14ac:dyDescent="0.3">
      <c r="A119" s="251" t="s">
        <v>194</v>
      </c>
      <c r="B119" s="10"/>
      <c r="E119" s="172"/>
      <c r="F119" s="173"/>
      <c r="G119" s="174"/>
      <c r="H119" s="172"/>
      <c r="Q119" s="96"/>
      <c r="U119" s="100"/>
      <c r="V119" s="187"/>
      <c r="W119" s="188"/>
      <c r="X119" s="154"/>
      <c r="Y119" s="155"/>
      <c r="Z119" s="96"/>
      <c r="AA119" s="101"/>
      <c r="AB119" s="102"/>
      <c r="AC119" s="155"/>
      <c r="AD119" s="96"/>
      <c r="AE119" s="101"/>
      <c r="AF119" s="102"/>
      <c r="AH119" s="96"/>
      <c r="AI119" s="101"/>
      <c r="AJ119" s="102"/>
    </row>
    <row r="120" spans="1:36" ht="13.35" hidden="1" customHeight="1" outlineLevel="1" x14ac:dyDescent="0.3">
      <c r="A120" s="10"/>
      <c r="B120" s="10"/>
      <c r="E120" s="172"/>
      <c r="F120" s="173"/>
      <c r="G120" s="174"/>
      <c r="H120" s="172"/>
      <c r="Q120" s="96"/>
      <c r="U120" s="100"/>
      <c r="V120" s="187"/>
      <c r="W120" s="188"/>
      <c r="X120" s="154"/>
      <c r="Y120" s="155"/>
      <c r="Z120" s="96"/>
      <c r="AA120" s="101"/>
      <c r="AB120" s="102"/>
      <c r="AC120" s="155"/>
      <c r="AD120" s="96"/>
      <c r="AE120" s="101"/>
      <c r="AF120" s="102"/>
      <c r="AH120" s="96"/>
      <c r="AI120" s="101"/>
      <c r="AJ120" s="102"/>
    </row>
    <row r="121" spans="1:36" ht="13.35" hidden="1" customHeight="1" outlineLevel="1" x14ac:dyDescent="0.3">
      <c r="A121" s="103" t="s">
        <v>195</v>
      </c>
      <c r="B121" s="10"/>
      <c r="E121" s="172"/>
      <c r="F121" s="173"/>
      <c r="G121" s="174"/>
      <c r="H121" s="172"/>
      <c r="Q121" s="96"/>
      <c r="U121" s="100"/>
      <c r="V121" s="187"/>
      <c r="W121" s="188"/>
      <c r="X121" s="154"/>
      <c r="Y121" s="155"/>
      <c r="Z121" s="96"/>
      <c r="AA121" s="101"/>
      <c r="AB121" s="102"/>
      <c r="AC121" s="155"/>
      <c r="AD121" s="96"/>
      <c r="AE121" s="101"/>
      <c r="AF121" s="102"/>
      <c r="AH121" s="96"/>
      <c r="AI121" s="101"/>
      <c r="AJ121" s="102"/>
    </row>
    <row r="122" spans="1:36" ht="13.35" hidden="1" customHeight="1" outlineLevel="1" x14ac:dyDescent="0.3">
      <c r="A122" s="51" t="s">
        <v>196</v>
      </c>
      <c r="B122" s="51" t="s">
        <v>197</v>
      </c>
      <c r="E122" s="172"/>
      <c r="F122" s="173"/>
      <c r="G122" s="108"/>
      <c r="H122" s="210">
        <v>60000</v>
      </c>
      <c r="I122" s="110">
        <v>60000</v>
      </c>
      <c r="J122" s="121">
        <f>I122-H122</f>
        <v>0</v>
      </c>
      <c r="K122" s="212">
        <v>60000</v>
      </c>
      <c r="L122" s="212"/>
      <c r="M122" s="110">
        <f>K122+L122</f>
        <v>60000</v>
      </c>
      <c r="N122" s="110"/>
      <c r="O122" s="110"/>
      <c r="P122" s="110">
        <f>M122+N122+O122</f>
        <v>60000</v>
      </c>
      <c r="Q122" s="176">
        <v>42664.26</v>
      </c>
      <c r="R122" s="175">
        <f>P122-Q122</f>
        <v>17335.739999999998</v>
      </c>
      <c r="S122" s="215">
        <f>SUM(Q122:R122)</f>
        <v>60000</v>
      </c>
      <c r="T122" s="136">
        <f>IF(ISERR(Q122/S122),"-",Q122/S122)</f>
        <v>0.71107100000000001</v>
      </c>
      <c r="U122" s="191">
        <f>S122-I122</f>
        <v>0</v>
      </c>
      <c r="V122" s="178">
        <f t="shared" ref="V122:V123" si="105">P122-S122</f>
        <v>0</v>
      </c>
      <c r="W122" s="201">
        <f>IF(ISERR(V122/P122),"-",V122/P122)</f>
        <v>0</v>
      </c>
      <c r="X122" s="154"/>
      <c r="Y122" s="155"/>
      <c r="Z122" s="118">
        <f>'[1]2021-22'!C809</f>
        <v>40275</v>
      </c>
      <c r="AA122" s="195">
        <f>O122-Z122</f>
        <v>-40275</v>
      </c>
      <c r="AB122" s="115">
        <f>IF(ISERR(AA122/Z122),"-",AA122/Z122)</f>
        <v>-1</v>
      </c>
      <c r="AC122" s="155"/>
      <c r="AD122" s="118">
        <v>42500</v>
      </c>
      <c r="AE122" s="195">
        <f>S122-AD122</f>
        <v>17500</v>
      </c>
      <c r="AF122" s="115">
        <f>IF(ISERR(AE122/AD122),"-",AE122/AD122)</f>
        <v>0.41176470588235292</v>
      </c>
      <c r="AH122" s="118">
        <v>36505</v>
      </c>
      <c r="AI122" s="195">
        <f>S122-AH122</f>
        <v>23495</v>
      </c>
      <c r="AJ122" s="115">
        <f t="shared" ref="AJ122:AJ123" si="106">IF(ISERR(AI122/AH122),"-",AI122/AH122)</f>
        <v>0.64361046431995617</v>
      </c>
    </row>
    <row r="123" spans="1:36" ht="13.35" hidden="1" customHeight="1" outlineLevel="1" x14ac:dyDescent="0.3">
      <c r="A123" s="51" t="s">
        <v>198</v>
      </c>
      <c r="B123" s="51" t="s">
        <v>199</v>
      </c>
      <c r="E123" s="172"/>
      <c r="F123" s="173"/>
      <c r="G123" s="174"/>
      <c r="H123" s="156"/>
      <c r="I123" s="131">
        <f>50000+71000</f>
        <v>121000</v>
      </c>
      <c r="J123" s="132">
        <f>I123-H123</f>
        <v>121000</v>
      </c>
      <c r="K123" s="213"/>
      <c r="L123" s="213"/>
      <c r="M123" s="122">
        <f>K123+L123</f>
        <v>0</v>
      </c>
      <c r="N123" s="122"/>
      <c r="O123" s="122">
        <v>121000</v>
      </c>
      <c r="P123" s="122">
        <f>M123+N123+O123</f>
        <v>121000</v>
      </c>
      <c r="Q123" s="224">
        <v>57010.82</v>
      </c>
      <c r="R123" s="225">
        <f>P123-Q123</f>
        <v>63989.18</v>
      </c>
      <c r="S123" s="135">
        <f>SUM(Q123:R123)</f>
        <v>121000</v>
      </c>
      <c r="T123" s="136">
        <f>IF(ISERR(Q123/S123),"-",Q123/S123)</f>
        <v>0.47116380165289257</v>
      </c>
      <c r="U123" s="191">
        <f>S123-I123</f>
        <v>0</v>
      </c>
      <c r="V123" s="137">
        <f t="shared" si="105"/>
        <v>0</v>
      </c>
      <c r="W123" s="201">
        <f>IF(ISERR(V123/P123),"-",V123/P123)</f>
        <v>0</v>
      </c>
      <c r="X123" s="154"/>
      <c r="Y123" s="155"/>
      <c r="Z123" s="156">
        <f>SUM('[1]2021-22'!C810:C832)</f>
        <v>94925.239999999991</v>
      </c>
      <c r="AA123" s="195">
        <f>O123-Z123</f>
        <v>26074.760000000009</v>
      </c>
      <c r="AB123" s="115">
        <f>IF(ISERR(AA123/Z123),"-",AA123/Z123)</f>
        <v>0.27468732236020693</v>
      </c>
      <c r="AC123" s="155"/>
      <c r="AD123" s="156">
        <v>74164.340000000011</v>
      </c>
      <c r="AE123" s="195">
        <f>S123-AD123</f>
        <v>46835.659999999989</v>
      </c>
      <c r="AF123" s="115">
        <f>IF(ISERR(AE123/AD123),"-",AE123/AD123)</f>
        <v>0.63151185596743642</v>
      </c>
      <c r="AH123" s="156">
        <v>85613.75</v>
      </c>
      <c r="AI123" s="195">
        <f>S123-AH123</f>
        <v>35386.25</v>
      </c>
      <c r="AJ123" s="115">
        <f t="shared" si="106"/>
        <v>0.41332437838548131</v>
      </c>
    </row>
    <row r="124" spans="1:36" ht="13.35" hidden="1" customHeight="1" outlineLevel="1" x14ac:dyDescent="0.3">
      <c r="A124" s="1" t="s">
        <v>200</v>
      </c>
      <c r="B124" s="10"/>
      <c r="E124" s="203">
        <f>SUM(E122:E123)</f>
        <v>0</v>
      </c>
      <c r="F124" s="159">
        <f>SUM(F122:F123)</f>
        <v>0</v>
      </c>
      <c r="G124" s="160">
        <f>SUM(G122:G123)</f>
        <v>0</v>
      </c>
      <c r="H124" s="163">
        <f>SUM(H122:H123)</f>
        <v>60000</v>
      </c>
      <c r="I124" s="163">
        <f>SUM(I122:I123)</f>
        <v>181000</v>
      </c>
      <c r="J124" s="204">
        <f t="shared" ref="J124:P124" si="107">SUM(J122:J123)</f>
        <v>121000</v>
      </c>
      <c r="K124" s="163">
        <f t="shared" si="107"/>
        <v>60000</v>
      </c>
      <c r="L124" s="163">
        <f t="shared" si="107"/>
        <v>0</v>
      </c>
      <c r="M124" s="163">
        <f t="shared" si="107"/>
        <v>60000</v>
      </c>
      <c r="N124" s="163">
        <f t="shared" si="107"/>
        <v>0</v>
      </c>
      <c r="O124" s="222">
        <f t="shared" si="107"/>
        <v>121000</v>
      </c>
      <c r="P124" s="163">
        <f t="shared" si="107"/>
        <v>181000</v>
      </c>
      <c r="Q124" s="165">
        <f>SUM(Q122:Q123)</f>
        <v>99675.08</v>
      </c>
      <c r="R124" s="163">
        <f>SUM(R122:R123)</f>
        <v>81324.92</v>
      </c>
      <c r="S124" s="163">
        <f>SUM(S122:S123)</f>
        <v>181000</v>
      </c>
      <c r="T124" s="166">
        <f>IF(ISERR(Q124/S124),"-",Q124/S124)</f>
        <v>0.55069104972375693</v>
      </c>
      <c r="U124" s="205">
        <f>SUM(U122:U123)</f>
        <v>0</v>
      </c>
      <c r="V124" s="167">
        <f>SUM(V122:V123)</f>
        <v>0</v>
      </c>
      <c r="W124" s="168">
        <f>IF(ISERR(V124/P124),"-",V124/P124)</f>
        <v>0</v>
      </c>
      <c r="X124" s="169"/>
      <c r="Y124" s="155"/>
      <c r="Z124" s="170">
        <f>SUM(Z122:Z123)</f>
        <v>135200.24</v>
      </c>
      <c r="AA124" s="206">
        <f>SUM(AA122:AA123)</f>
        <v>-14200.239999999991</v>
      </c>
      <c r="AB124" s="168">
        <f>IF(ISERR(AA124/Z124),"-",AA124/Z124)</f>
        <v>-0.10503117450087361</v>
      </c>
      <c r="AC124" s="155"/>
      <c r="AD124" s="170">
        <f>SUM(AD122:AD123)</f>
        <v>116664.34000000001</v>
      </c>
      <c r="AE124" s="206">
        <f>SUM(AE122:AE123)</f>
        <v>64335.659999999989</v>
      </c>
      <c r="AF124" s="168">
        <f>IF(ISERR(AE124/AD124),"-",AE124/AD124)</f>
        <v>0.55145951196398135</v>
      </c>
      <c r="AH124" s="170">
        <v>122118.75</v>
      </c>
      <c r="AI124" s="206">
        <f>SUM(AI122:AI123)</f>
        <v>58881.25</v>
      </c>
      <c r="AJ124" s="168">
        <f>IF(ISERR(AI124/AH124),"-",AI124/AH124)</f>
        <v>0.48216387737345823</v>
      </c>
    </row>
    <row r="125" spans="1:36" ht="13.35" hidden="1" customHeight="1" outlineLevel="1" x14ac:dyDescent="0.3">
      <c r="A125" s="10"/>
      <c r="B125" s="10"/>
      <c r="E125" s="172"/>
      <c r="F125" s="173"/>
      <c r="G125" s="174"/>
      <c r="H125" s="172"/>
      <c r="Q125" s="96"/>
      <c r="U125" s="100"/>
      <c r="V125" s="187"/>
      <c r="W125" s="188"/>
      <c r="X125" s="154"/>
      <c r="Y125" s="155"/>
      <c r="Z125" s="96"/>
      <c r="AA125" s="101"/>
      <c r="AB125" s="102"/>
      <c r="AC125" s="155"/>
      <c r="AD125" s="96"/>
      <c r="AE125" s="101"/>
      <c r="AF125" s="102"/>
      <c r="AH125" s="96"/>
      <c r="AI125" s="101"/>
      <c r="AJ125" s="102"/>
    </row>
    <row r="126" spans="1:36" ht="13.35" hidden="1" customHeight="1" outlineLevel="1" x14ac:dyDescent="0.3">
      <c r="A126" s="103" t="s">
        <v>201</v>
      </c>
      <c r="B126" s="10"/>
      <c r="E126" s="172"/>
      <c r="F126" s="173"/>
      <c r="G126" s="174"/>
      <c r="H126" s="172"/>
      <c r="Q126" s="96"/>
      <c r="U126" s="100"/>
      <c r="V126" s="187"/>
      <c r="W126" s="188"/>
      <c r="X126" s="154"/>
      <c r="Y126" s="155"/>
      <c r="Z126" s="96"/>
      <c r="AA126" s="101"/>
      <c r="AB126" s="102"/>
      <c r="AC126" s="155"/>
      <c r="AD126" s="96"/>
      <c r="AE126" s="101"/>
      <c r="AF126" s="102"/>
      <c r="AH126" s="96"/>
      <c r="AI126" s="101"/>
      <c r="AJ126" s="102"/>
    </row>
    <row r="127" spans="1:36" ht="13.35" hidden="1" customHeight="1" outlineLevel="1" x14ac:dyDescent="0.3">
      <c r="A127" s="51" t="s">
        <v>202</v>
      </c>
      <c r="B127" s="51" t="s">
        <v>203</v>
      </c>
      <c r="D127" s="105" t="s">
        <v>49</v>
      </c>
      <c r="E127" s="106"/>
      <c r="F127" s="173">
        <f>104-1-3-21+1+1+1</f>
        <v>82</v>
      </c>
      <c r="G127" s="108">
        <f t="shared" ref="G127" si="108">E127-F127</f>
        <v>-82</v>
      </c>
      <c r="H127" s="210">
        <f>3318600+4700300</f>
        <v>8018900</v>
      </c>
      <c r="I127" s="110">
        <v>8018900</v>
      </c>
      <c r="J127" s="121">
        <f>I127-H127</f>
        <v>0</v>
      </c>
      <c r="K127" s="212">
        <f>3318800+4700400</f>
        <v>8019200</v>
      </c>
      <c r="L127" s="212">
        <v>71663</v>
      </c>
      <c r="M127" s="110">
        <f>K127+L127</f>
        <v>8090863</v>
      </c>
      <c r="N127" s="110"/>
      <c r="O127" s="110"/>
      <c r="P127" s="110">
        <f>M127+N127+O127</f>
        <v>8090863</v>
      </c>
      <c r="Q127" s="176">
        <v>6542983.4100000001</v>
      </c>
      <c r="R127" s="175">
        <f>'[1]Salary Projections'!AC10+'[1]Salary Projections'!AC17-'[1]Operating Results'!Q127</f>
        <v>1648208.3960000006</v>
      </c>
      <c r="S127" s="252">
        <f>SUM(Q127:R127)</f>
        <v>8191191.8060000008</v>
      </c>
      <c r="T127" s="136">
        <f>IF(ISERR(Q127/S127),"-",Q127/S127)</f>
        <v>0.79878283465506239</v>
      </c>
      <c r="U127" s="191">
        <f>S127-I127</f>
        <v>172291.8060000008</v>
      </c>
      <c r="V127" s="178">
        <f t="shared" ref="V127:V131" si="109">P127-S127</f>
        <v>-100328.8060000008</v>
      </c>
      <c r="W127" s="201">
        <f>IF(ISERR(V127/P127),"-",V127/P127)</f>
        <v>-1.2400260145302275E-2</v>
      </c>
      <c r="X127" s="253"/>
      <c r="Y127" s="254"/>
      <c r="Z127" s="118">
        <f>'[1]2021-22'!C837</f>
        <v>6569981.5599999996</v>
      </c>
      <c r="AA127" s="223">
        <f>O127-Z127</f>
        <v>-6569981.5599999996</v>
      </c>
      <c r="AB127" s="201">
        <f>IF(ISERR(AA127/Z127),"-",AA127/Z127)</f>
        <v>-1</v>
      </c>
      <c r="AC127" s="254"/>
      <c r="AD127" s="118">
        <v>5558286.4699999997</v>
      </c>
      <c r="AE127" s="223">
        <f>S127-AD127</f>
        <v>2632905.3360000011</v>
      </c>
      <c r="AF127" s="201">
        <f>IF(ISERR(AE127/AD127),"-",AE127/AD127)</f>
        <v>0.47369011118996918</v>
      </c>
      <c r="AH127" s="118">
        <v>5633724.96</v>
      </c>
      <c r="AI127" s="223">
        <f>S127-AH127</f>
        <v>2557466.8460000008</v>
      </c>
      <c r="AJ127" s="201">
        <f t="shared" ref="AJ127:AJ132" si="110">IF(ISERR(AI127/AH127),"-",AI127/AH127)</f>
        <v>0.45395663866416386</v>
      </c>
    </row>
    <row r="128" spans="1:36" ht="13.35" hidden="1" customHeight="1" outlineLevel="1" x14ac:dyDescent="0.3">
      <c r="A128" s="51"/>
      <c r="B128" s="51"/>
      <c r="D128" s="105" t="s">
        <v>50</v>
      </c>
      <c r="E128" s="106"/>
      <c r="F128" s="173">
        <f>F127-1</f>
        <v>81</v>
      </c>
      <c r="G128" s="108"/>
      <c r="H128" s="210"/>
      <c r="I128" s="110"/>
      <c r="J128" s="121"/>
      <c r="K128" s="212"/>
      <c r="L128" s="212"/>
      <c r="M128" s="110"/>
      <c r="N128" s="110"/>
      <c r="O128" s="110"/>
      <c r="P128" s="110"/>
      <c r="Q128" s="176"/>
      <c r="R128" s="175"/>
      <c r="S128" s="135"/>
      <c r="T128" s="136"/>
      <c r="U128" s="191"/>
      <c r="V128" s="178"/>
      <c r="W128" s="201"/>
      <c r="X128" s="253"/>
      <c r="Y128" s="254"/>
      <c r="Z128" s="156"/>
      <c r="AA128" s="223"/>
      <c r="AB128" s="201"/>
      <c r="AC128" s="254"/>
      <c r="AD128" s="156"/>
      <c r="AE128" s="223"/>
      <c r="AF128" s="201"/>
      <c r="AH128" s="156"/>
      <c r="AI128" s="223"/>
      <c r="AJ128" s="201"/>
    </row>
    <row r="129" spans="1:36" ht="15" hidden="1" customHeight="1" outlineLevel="1" x14ac:dyDescent="0.3">
      <c r="A129" s="51" t="s">
        <v>204</v>
      </c>
      <c r="B129" s="51" t="s">
        <v>142</v>
      </c>
      <c r="D129" s="255"/>
      <c r="E129" s="197"/>
      <c r="G129" s="108"/>
      <c r="H129" s="156"/>
      <c r="I129" s="131"/>
      <c r="J129" s="132">
        <f>I129-H129</f>
        <v>0</v>
      </c>
      <c r="K129" s="213"/>
      <c r="L129" s="213"/>
      <c r="M129" s="122">
        <f>K129+L129</f>
        <v>0</v>
      </c>
      <c r="N129" s="122"/>
      <c r="O129" s="122"/>
      <c r="P129" s="122">
        <f>M129+N129+O129</f>
        <v>0</v>
      </c>
      <c r="Q129" s="224">
        <f>169316.95+114501.26</f>
        <v>283818.21000000002</v>
      </c>
      <c r="R129" s="225">
        <f>'[1]Salary Projections'!AC24+'[1]Salary Projections'!AC31-'[1]Operating Results'!Q129</f>
        <v>77239.389999999956</v>
      </c>
      <c r="S129" s="135">
        <f t="shared" ref="S129:S131" si="111">SUM(Q129:R129)</f>
        <v>361057.6</v>
      </c>
      <c r="T129" s="136">
        <f>IF(ISERR(Q129/S129),"-",Q129/S129)</f>
        <v>0.78607460416288155</v>
      </c>
      <c r="U129" s="191">
        <f>S129-I129</f>
        <v>361057.6</v>
      </c>
      <c r="V129" s="137">
        <f t="shared" si="109"/>
        <v>-361057.6</v>
      </c>
      <c r="W129" s="201" t="str">
        <f>IF(ISERR(V129/P129),"-",V129/P129)</f>
        <v>-</v>
      </c>
      <c r="X129" s="253"/>
      <c r="Y129" s="254"/>
      <c r="Z129" s="156">
        <f>'[1]2021-22'!C839</f>
        <v>32193.26</v>
      </c>
      <c r="AA129" s="200">
        <f>O129-Z129</f>
        <v>-32193.26</v>
      </c>
      <c r="AB129" s="201">
        <f>IF(ISERR(AA129/Z129),"-",AA129/Z129)</f>
        <v>-1</v>
      </c>
      <c r="AC129" s="254"/>
      <c r="AD129" s="156">
        <v>250427.85</v>
      </c>
      <c r="AE129" s="200">
        <f>S129-AD129</f>
        <v>110629.74999999997</v>
      </c>
      <c r="AF129" s="201">
        <f>IF(ISERR(AE129/AD129),"-",AE129/AD129)</f>
        <v>0.44176296685851818</v>
      </c>
      <c r="AH129" s="156">
        <v>152036.57</v>
      </c>
      <c r="AI129" s="200">
        <f>S129-AH129</f>
        <v>209021.02999999997</v>
      </c>
      <c r="AJ129" s="201">
        <f t="shared" si="110"/>
        <v>1.3748075874113705</v>
      </c>
    </row>
    <row r="130" spans="1:36" ht="13.35" hidden="1" customHeight="1" outlineLevel="1" x14ac:dyDescent="0.3">
      <c r="A130" s="51" t="s">
        <v>205</v>
      </c>
      <c r="B130" s="51" t="s">
        <v>69</v>
      </c>
      <c r="D130" s="256"/>
      <c r="E130" s="172"/>
      <c r="F130" s="173"/>
      <c r="G130" s="174"/>
      <c r="H130" s="156">
        <f>3433100+95309+46400+60924+100</f>
        <v>3635833</v>
      </c>
      <c r="I130" s="131">
        <f>3635833-300000-505020-106320-200000-50000-71000-80000-95000</f>
        <v>2228493</v>
      </c>
      <c r="J130" s="132">
        <f>I130-H130</f>
        <v>-1407340</v>
      </c>
      <c r="K130" s="213">
        <f>735600+500</f>
        <v>736100</v>
      </c>
      <c r="L130" s="213">
        <f>5780+35000</f>
        <v>40780</v>
      </c>
      <c r="M130" s="122">
        <f>K130+L130</f>
        <v>776880</v>
      </c>
      <c r="N130" s="122"/>
      <c r="O130" s="122">
        <f>-300000-505020-106320-200000-50000-71000-80000-95000-120000+3635833-736100+1500+367</f>
        <v>1374260</v>
      </c>
      <c r="P130" s="122">
        <f>M130+N130+O130</f>
        <v>2151140</v>
      </c>
      <c r="Q130" s="224">
        <v>1238594.32</v>
      </c>
      <c r="R130" s="225">
        <f>1663005-Q130</f>
        <v>424410.67999999993</v>
      </c>
      <c r="S130" s="135">
        <f t="shared" si="111"/>
        <v>1663005</v>
      </c>
      <c r="T130" s="136">
        <f>IF(ISERR(Q130/S130),"-",Q130/S130)</f>
        <v>0.74479290200570658</v>
      </c>
      <c r="U130" s="191">
        <f>S130-I130</f>
        <v>-565488</v>
      </c>
      <c r="V130" s="137">
        <f t="shared" si="109"/>
        <v>488135</v>
      </c>
      <c r="W130" s="201">
        <f>IF(ISERR(V130/P130),"-",V130/P130)</f>
        <v>0.22691921492789868</v>
      </c>
      <c r="X130" s="253"/>
      <c r="Y130" s="254"/>
      <c r="Z130" s="156">
        <f>'[1]2021-22'!C838+SUM('[1]2021-22'!C840:C893)</f>
        <v>1035264.6300000004</v>
      </c>
      <c r="AA130" s="200">
        <f>O130-Z130</f>
        <v>338995.36999999965</v>
      </c>
      <c r="AB130" s="201">
        <f>IF(ISERR(AA130/Z130),"-",AA130/Z130)</f>
        <v>0.32744803616057039</v>
      </c>
      <c r="AC130" s="254"/>
      <c r="AD130" s="156">
        <v>883838.77000000014</v>
      </c>
      <c r="AE130" s="200">
        <f>S130-AD130</f>
        <v>779166.22999999986</v>
      </c>
      <c r="AF130" s="201">
        <f>IF(ISERR(AE130/AD130),"-",AE130/AD130)</f>
        <v>0.88157054934351853</v>
      </c>
      <c r="AH130" s="156">
        <v>766308.61</v>
      </c>
      <c r="AI130" s="200">
        <f>S130-AH130</f>
        <v>896696.39</v>
      </c>
      <c r="AJ130" s="201">
        <f t="shared" si="110"/>
        <v>1.170150482845286</v>
      </c>
    </row>
    <row r="131" spans="1:36" ht="13.35" hidden="1" customHeight="1" outlineLevel="1" x14ac:dyDescent="0.3">
      <c r="A131" s="51" t="s">
        <v>206</v>
      </c>
      <c r="B131" s="51" t="s">
        <v>207</v>
      </c>
      <c r="D131" s="256"/>
      <c r="E131" s="172"/>
      <c r="F131" s="173"/>
      <c r="G131" s="174"/>
      <c r="H131" s="257">
        <v>155700</v>
      </c>
      <c r="I131" s="131">
        <v>155700</v>
      </c>
      <c r="J131" s="132">
        <f t="shared" ref="J131" si="112">I131-H131</f>
        <v>0</v>
      </c>
      <c r="K131" s="213">
        <v>155700</v>
      </c>
      <c r="L131" s="213"/>
      <c r="M131" s="122">
        <f>K131+L131</f>
        <v>155700</v>
      </c>
      <c r="N131" s="122"/>
      <c r="O131" s="122"/>
      <c r="P131" s="122">
        <f>M131+N131+O131</f>
        <v>155700</v>
      </c>
      <c r="Q131" s="224">
        <v>51514.26</v>
      </c>
      <c r="R131" s="225">
        <f>P131-Q131</f>
        <v>104185.73999999999</v>
      </c>
      <c r="S131" s="135">
        <f t="shared" si="111"/>
        <v>155700</v>
      </c>
      <c r="T131" s="136">
        <f>IF(ISERR(Q131/S131),"-",Q131/S131)</f>
        <v>0.33085587668593452</v>
      </c>
      <c r="U131" s="191"/>
      <c r="V131" s="137">
        <f t="shared" si="109"/>
        <v>0</v>
      </c>
      <c r="W131" s="201">
        <f>IF(ISERR(V131/P131),"-",V131/P131)</f>
        <v>0</v>
      </c>
      <c r="X131" s="253"/>
      <c r="Y131" s="254"/>
      <c r="Z131" s="156"/>
      <c r="AA131" s="200"/>
      <c r="AB131" s="201"/>
      <c r="AC131" s="254"/>
      <c r="AD131" s="156"/>
      <c r="AE131" s="200"/>
      <c r="AF131" s="201"/>
      <c r="AH131" s="156"/>
      <c r="AI131" s="200"/>
      <c r="AJ131" s="201"/>
    </row>
    <row r="132" spans="1:36" ht="13.35" hidden="1" customHeight="1" outlineLevel="1" x14ac:dyDescent="0.3">
      <c r="A132" s="1" t="s">
        <v>208</v>
      </c>
      <c r="B132" s="10"/>
      <c r="D132" s="256"/>
      <c r="E132" s="203">
        <f>E127</f>
        <v>0</v>
      </c>
      <c r="F132" s="258">
        <f>F128</f>
        <v>81</v>
      </c>
      <c r="G132" s="160">
        <f>G127</f>
        <v>-82</v>
      </c>
      <c r="H132" s="163">
        <f t="shared" ref="H132:T132" si="113">SUM(H127:H131)</f>
        <v>11810433</v>
      </c>
      <c r="I132" s="163">
        <f t="shared" si="113"/>
        <v>10403093</v>
      </c>
      <c r="J132" s="163">
        <f t="shared" si="113"/>
        <v>-1407340</v>
      </c>
      <c r="K132" s="163">
        <f t="shared" si="113"/>
        <v>8911000</v>
      </c>
      <c r="L132" s="163">
        <f t="shared" si="113"/>
        <v>112443</v>
      </c>
      <c r="M132" s="163">
        <f t="shared" si="113"/>
        <v>9023443</v>
      </c>
      <c r="N132" s="163">
        <f t="shared" si="113"/>
        <v>0</v>
      </c>
      <c r="O132" s="222">
        <f t="shared" si="113"/>
        <v>1374260</v>
      </c>
      <c r="P132" s="163">
        <f t="shared" si="113"/>
        <v>10397703</v>
      </c>
      <c r="Q132" s="165">
        <f t="shared" si="113"/>
        <v>8116910.2000000002</v>
      </c>
      <c r="R132" s="163">
        <f t="shared" si="113"/>
        <v>2254044.2060000002</v>
      </c>
      <c r="S132" s="163">
        <f t="shared" si="113"/>
        <v>10370954.406000001</v>
      </c>
      <c r="T132" s="163">
        <f t="shared" si="113"/>
        <v>2.6605062175095853</v>
      </c>
      <c r="U132" s="205">
        <f>SUM(U127:U130)</f>
        <v>-32138.593999999226</v>
      </c>
      <c r="V132" s="167">
        <f>SUM(V127:V131)</f>
        <v>26748.593999999226</v>
      </c>
      <c r="W132" s="168">
        <f>IF(ISERR(V132/P132),"-",V132/P132)</f>
        <v>2.5725483791948305E-3</v>
      </c>
      <c r="X132" s="165"/>
      <c r="Y132" s="228"/>
      <c r="Z132" s="170">
        <f>SUM(Z127:Z130)</f>
        <v>7637439.4499999993</v>
      </c>
      <c r="AA132" s="206">
        <f>SUM(AA127:AA130)</f>
        <v>-6263179.4499999993</v>
      </c>
      <c r="AB132" s="168">
        <f>IF(ISERR(AA132/Z132),"-",AA132/Z132)</f>
        <v>-0.82006273057916024</v>
      </c>
      <c r="AC132" s="228"/>
      <c r="AD132" s="170">
        <f>SUM(AD127:AD130)</f>
        <v>6692553.0899999999</v>
      </c>
      <c r="AE132" s="206">
        <f>SUM(AE127:AE130)</f>
        <v>3522701.316000001</v>
      </c>
      <c r="AF132" s="168">
        <f>IF(ISERR(AE132/AD132),"-",AE132/AD132)</f>
        <v>0.52636135546890384</v>
      </c>
      <c r="AH132" s="170">
        <v>6552070.1400000006</v>
      </c>
      <c r="AI132" s="206">
        <f>SUM(AI127:AI130)</f>
        <v>3663184.2660000008</v>
      </c>
      <c r="AJ132" s="168">
        <f t="shared" si="110"/>
        <v>0.55908807258281279</v>
      </c>
    </row>
    <row r="133" spans="1:36" ht="13.35" hidden="1" customHeight="1" outlineLevel="1" x14ac:dyDescent="0.3">
      <c r="A133" s="10"/>
      <c r="B133" s="10"/>
      <c r="E133" s="172"/>
      <c r="F133" s="173"/>
      <c r="G133" s="174"/>
      <c r="H133" s="172"/>
      <c r="Q133" s="96"/>
      <c r="U133" s="242"/>
      <c r="V133" s="187"/>
      <c r="W133" s="188"/>
      <c r="X133" s="154"/>
      <c r="Y133" s="155"/>
      <c r="Z133" s="96"/>
      <c r="AA133" s="259"/>
      <c r="AB133" s="102"/>
      <c r="AC133" s="155"/>
      <c r="AD133" s="96"/>
      <c r="AE133" s="259"/>
      <c r="AF133" s="102"/>
      <c r="AH133" s="96"/>
      <c r="AI133" s="259"/>
      <c r="AJ133" s="102"/>
    </row>
    <row r="134" spans="1:36" ht="13.35" customHeight="1" collapsed="1" x14ac:dyDescent="0.3">
      <c r="A134" s="239" t="s">
        <v>209</v>
      </c>
      <c r="B134" s="10"/>
      <c r="E134" s="203">
        <f t="shared" ref="E134:S134" si="114">E124+E132</f>
        <v>0</v>
      </c>
      <c r="F134" s="258">
        <f t="shared" si="114"/>
        <v>81</v>
      </c>
      <c r="G134" s="160">
        <f t="shared" si="114"/>
        <v>-82</v>
      </c>
      <c r="H134" s="163">
        <f t="shared" si="114"/>
        <v>11870433</v>
      </c>
      <c r="I134" s="163">
        <f t="shared" si="114"/>
        <v>10584093</v>
      </c>
      <c r="J134" s="204">
        <f t="shared" si="114"/>
        <v>-1286340</v>
      </c>
      <c r="K134" s="163">
        <f t="shared" si="114"/>
        <v>8971000</v>
      </c>
      <c r="L134" s="163">
        <f t="shared" si="114"/>
        <v>112443</v>
      </c>
      <c r="M134" s="163">
        <f t="shared" si="114"/>
        <v>9083443</v>
      </c>
      <c r="N134" s="163">
        <f t="shared" si="114"/>
        <v>0</v>
      </c>
      <c r="O134" s="222">
        <f t="shared" si="114"/>
        <v>1495260</v>
      </c>
      <c r="P134" s="163">
        <f t="shared" si="114"/>
        <v>10578703</v>
      </c>
      <c r="Q134" s="165">
        <f t="shared" si="114"/>
        <v>8216585.2800000003</v>
      </c>
      <c r="R134" s="163">
        <f t="shared" si="114"/>
        <v>2335369.1260000002</v>
      </c>
      <c r="S134" s="163">
        <f t="shared" si="114"/>
        <v>10551954.406000001</v>
      </c>
      <c r="T134" s="166">
        <f>IF(ISERR(Q134/S134),"-",Q134/S134)</f>
        <v>0.77867899763933068</v>
      </c>
      <c r="U134" s="205">
        <f>U124+U132</f>
        <v>-32138.593999999226</v>
      </c>
      <c r="V134" s="167">
        <f>V124+V132</f>
        <v>26748.593999999226</v>
      </c>
      <c r="W134" s="168">
        <f>IF(ISERR(V134/P134),"-",V134/P134)</f>
        <v>2.5285324675434432E-3</v>
      </c>
      <c r="X134" s="169"/>
      <c r="Y134" s="155"/>
      <c r="Z134" s="170">
        <f>Z124+Z132</f>
        <v>7772639.6899999995</v>
      </c>
      <c r="AA134" s="206">
        <f>AA124+AA132</f>
        <v>-6277379.6899999995</v>
      </c>
      <c r="AB134" s="168">
        <f>IF(ISERR(AA134/Z134),"-",AA134/Z134)</f>
        <v>-0.80762520075081468</v>
      </c>
      <c r="AC134" s="155"/>
      <c r="AD134" s="170">
        <f>AD124+AD132</f>
        <v>6809217.4299999997</v>
      </c>
      <c r="AE134" s="206">
        <f>AE124+AE132</f>
        <v>3587036.9760000012</v>
      </c>
      <c r="AF134" s="168">
        <f>IF(ISERR(AE134/AD134),"-",AE134/AD134)</f>
        <v>0.52679136962145756</v>
      </c>
      <c r="AH134" s="170">
        <v>6674188.8900000006</v>
      </c>
      <c r="AI134" s="206">
        <f>AI124+AI132</f>
        <v>3722065.5160000008</v>
      </c>
      <c r="AJ134" s="168">
        <f>IF(ISERR(AI134/AH134),"-",AI134/AH134)</f>
        <v>0.55768057772185708</v>
      </c>
    </row>
    <row r="135" spans="1:36" ht="13.35" customHeight="1" x14ac:dyDescent="0.3">
      <c r="A135" s="10"/>
      <c r="B135" s="10"/>
      <c r="E135" s="172"/>
      <c r="F135" s="173"/>
      <c r="G135" s="260"/>
      <c r="H135" s="172"/>
      <c r="Q135" s="96"/>
      <c r="U135" s="100"/>
      <c r="V135" s="187"/>
      <c r="W135" s="188"/>
      <c r="X135" s="154"/>
      <c r="Y135" s="155"/>
      <c r="Z135" s="96"/>
      <c r="AA135" s="101"/>
      <c r="AB135" s="102"/>
      <c r="AC135" s="155"/>
      <c r="AD135" s="96"/>
      <c r="AE135" s="101"/>
      <c r="AF135" s="102"/>
      <c r="AH135" s="96"/>
      <c r="AI135" s="101"/>
      <c r="AJ135" s="102"/>
    </row>
    <row r="136" spans="1:36" ht="13.35" customHeight="1" x14ac:dyDescent="0.3">
      <c r="A136" s="10"/>
      <c r="B136" s="10"/>
      <c r="E136" s="172"/>
      <c r="F136" s="173"/>
      <c r="G136" s="174"/>
      <c r="H136" s="172"/>
      <c r="I136" s="184"/>
      <c r="J136" s="184"/>
      <c r="K136" s="261"/>
      <c r="L136" s="261"/>
      <c r="M136" s="261"/>
      <c r="N136" s="261"/>
      <c r="O136" s="261"/>
      <c r="P136" s="261"/>
      <c r="Q136" s="262"/>
      <c r="R136" s="261"/>
      <c r="S136" s="261"/>
      <c r="T136" s="261"/>
      <c r="U136" s="263"/>
      <c r="V136" s="187"/>
      <c r="W136" s="188"/>
      <c r="X136" s="154"/>
      <c r="Y136" s="155"/>
      <c r="Z136" s="96"/>
      <c r="AA136" s="101"/>
      <c r="AB136" s="102"/>
      <c r="AC136" s="155"/>
      <c r="AD136" s="96"/>
      <c r="AE136" s="101"/>
      <c r="AF136" s="102"/>
      <c r="AH136" s="96"/>
      <c r="AI136" s="101"/>
      <c r="AJ136" s="102"/>
    </row>
    <row r="137" spans="1:36" ht="13.35" hidden="1" customHeight="1" outlineLevel="1" x14ac:dyDescent="0.3">
      <c r="A137" s="251" t="s">
        <v>210</v>
      </c>
      <c r="B137" s="10"/>
      <c r="E137" s="172"/>
      <c r="F137" s="173"/>
      <c r="G137" s="174"/>
      <c r="H137" s="172"/>
      <c r="Q137" s="96"/>
      <c r="U137" s="100"/>
      <c r="V137" s="187"/>
      <c r="W137" s="188"/>
      <c r="X137" s="154"/>
      <c r="Y137" s="155"/>
      <c r="Z137" s="96"/>
      <c r="AA137" s="101"/>
      <c r="AB137" s="102"/>
      <c r="AC137" s="155"/>
      <c r="AD137" s="96"/>
      <c r="AE137" s="101"/>
      <c r="AF137" s="102"/>
      <c r="AH137" s="96"/>
      <c r="AI137" s="101"/>
      <c r="AJ137" s="102"/>
    </row>
    <row r="138" spans="1:36" ht="13.35" hidden="1" customHeight="1" outlineLevel="1" x14ac:dyDescent="0.3">
      <c r="A138" s="216" t="s">
        <v>211</v>
      </c>
      <c r="B138" s="216" t="s">
        <v>212</v>
      </c>
      <c r="E138" s="172"/>
      <c r="F138" s="173"/>
      <c r="G138" s="174"/>
      <c r="H138" s="156">
        <v>1100</v>
      </c>
      <c r="I138" s="11">
        <v>1100</v>
      </c>
      <c r="J138" s="121">
        <f t="shared" ref="J138:J139" si="115">I138-H138</f>
        <v>0</v>
      </c>
      <c r="K138" s="11">
        <v>1100</v>
      </c>
      <c r="M138" s="110">
        <f>K138+L138</f>
        <v>1100</v>
      </c>
      <c r="N138" s="110"/>
      <c r="O138" s="110"/>
      <c r="P138" s="110">
        <f>M138+N138+O138</f>
        <v>1100</v>
      </c>
      <c r="Q138" s="264">
        <f>832.74+110.57</f>
        <v>943.31</v>
      </c>
      <c r="R138" s="265">
        <f>P138-Q138</f>
        <v>156.69000000000005</v>
      </c>
      <c r="S138" s="252">
        <f>SUM(Q138:R138)</f>
        <v>1100</v>
      </c>
      <c r="T138" s="136">
        <f t="shared" ref="T138:T154" si="116">IF(ISERR(Q138/S138),"-",Q138/S138)</f>
        <v>0.85755454545454546</v>
      </c>
      <c r="U138" s="191">
        <f t="shared" ref="U138:U154" si="117">S138-I138</f>
        <v>0</v>
      </c>
      <c r="V138" s="178">
        <f t="shared" ref="V138:V154" si="118">P138-S138</f>
        <v>0</v>
      </c>
      <c r="W138" s="201">
        <f t="shared" ref="W138:W155" si="119">IF(ISERR(V138/P138),"-",V138/P138)</f>
        <v>0</v>
      </c>
      <c r="X138" s="154"/>
      <c r="Y138" s="155"/>
      <c r="Z138" s="118">
        <f>'[1]2021-22'!C898</f>
        <v>2834.98</v>
      </c>
      <c r="AA138" s="200">
        <f>O138-Z138</f>
        <v>-2834.98</v>
      </c>
      <c r="AB138" s="201">
        <f>IF(ISERR(AA138/Z138),"-",AA138/Z138)</f>
        <v>-1</v>
      </c>
      <c r="AC138" s="155"/>
      <c r="AD138" s="118">
        <v>16385.16</v>
      </c>
      <c r="AE138" s="200">
        <f>S138-AD138</f>
        <v>-15285.16</v>
      </c>
      <c r="AF138" s="201">
        <f>IF(ISERR(AE138/AD138),"-",AE138/AD138)</f>
        <v>-0.93286608125889525</v>
      </c>
      <c r="AH138" s="118">
        <v>22430.58</v>
      </c>
      <c r="AI138" s="200">
        <f>S138-AH138</f>
        <v>-21330.58</v>
      </c>
      <c r="AJ138" s="201">
        <f>IF(ISERR(AI138/AH138),"-",AI138/AH138)</f>
        <v>-0.95095980576516526</v>
      </c>
    </row>
    <row r="139" spans="1:36" ht="13.35" hidden="1" customHeight="1" outlineLevel="1" x14ac:dyDescent="0.3">
      <c r="A139" s="216" t="s">
        <v>213</v>
      </c>
      <c r="B139" s="216" t="s">
        <v>214</v>
      </c>
      <c r="E139" s="172"/>
      <c r="F139" s="173"/>
      <c r="G139" s="174"/>
      <c r="H139" s="156"/>
      <c r="J139" s="121">
        <f t="shared" si="115"/>
        <v>0</v>
      </c>
      <c r="M139" s="122">
        <f>K139+L139</f>
        <v>0</v>
      </c>
      <c r="N139" s="122"/>
      <c r="O139" s="122"/>
      <c r="P139" s="122">
        <f>M139+N139+O139</f>
        <v>0</v>
      </c>
      <c r="Q139" s="96"/>
      <c r="R139" s="265"/>
      <c r="S139" s="135">
        <f t="shared" ref="S139:S154" si="120">SUM(Q139:R139)</f>
        <v>0</v>
      </c>
      <c r="T139" s="136" t="str">
        <f t="shared" si="116"/>
        <v>-</v>
      </c>
      <c r="U139" s="191">
        <f t="shared" si="117"/>
        <v>0</v>
      </c>
      <c r="V139" s="137">
        <f t="shared" si="118"/>
        <v>0</v>
      </c>
      <c r="W139" s="201" t="str">
        <f t="shared" si="119"/>
        <v>-</v>
      </c>
      <c r="X139" s="154"/>
      <c r="Y139" s="155"/>
      <c r="Z139" s="156">
        <v>0</v>
      </c>
      <c r="AA139" s="101"/>
      <c r="AB139" s="102"/>
      <c r="AC139" s="155"/>
      <c r="AD139" s="156">
        <v>0</v>
      </c>
      <c r="AE139" s="101"/>
      <c r="AF139" s="102"/>
      <c r="AH139" s="156">
        <v>0</v>
      </c>
      <c r="AI139" s="101"/>
      <c r="AJ139" s="102"/>
    </row>
    <row r="140" spans="1:36" ht="13.35" hidden="1" customHeight="1" outlineLevel="1" x14ac:dyDescent="0.3">
      <c r="A140" s="216" t="s">
        <v>215</v>
      </c>
      <c r="B140" s="216" t="s">
        <v>216</v>
      </c>
      <c r="C140" s="125"/>
      <c r="D140" s="125"/>
      <c r="E140" s="266"/>
      <c r="F140" s="267"/>
      <c r="G140" s="268"/>
      <c r="H140" s="210"/>
      <c r="I140" s="110"/>
      <c r="J140" s="121">
        <f>I140-H140</f>
        <v>0</v>
      </c>
      <c r="K140" s="212"/>
      <c r="L140" s="212"/>
      <c r="M140" s="122">
        <f t="shared" ref="M140:M154" si="121">K140+L140</f>
        <v>0</v>
      </c>
      <c r="N140" s="122"/>
      <c r="O140" s="122"/>
      <c r="P140" s="122">
        <f t="shared" ref="P140:P154" si="122">M140+N140+O140</f>
        <v>0</v>
      </c>
      <c r="Q140" s="269">
        <f>787313.61+363090.42+96663.41+543137.65</f>
        <v>1790205.0899999999</v>
      </c>
      <c r="R140" s="265">
        <f>-Q140</f>
        <v>-1790205.0899999999</v>
      </c>
      <c r="S140" s="135">
        <f t="shared" si="120"/>
        <v>0</v>
      </c>
      <c r="T140" s="136" t="str">
        <f t="shared" si="116"/>
        <v>-</v>
      </c>
      <c r="U140" s="191">
        <f t="shared" si="117"/>
        <v>0</v>
      </c>
      <c r="V140" s="137">
        <f t="shared" si="118"/>
        <v>0</v>
      </c>
      <c r="W140" s="201" t="str">
        <f t="shared" si="119"/>
        <v>-</v>
      </c>
      <c r="X140" s="154"/>
      <c r="Y140" s="155"/>
      <c r="Z140" s="124">
        <f>'[1]2021-22'!C899</f>
        <v>0</v>
      </c>
      <c r="AA140" s="223"/>
      <c r="AB140" s="201"/>
      <c r="AC140" s="155"/>
      <c r="AD140" s="124">
        <v>0</v>
      </c>
      <c r="AE140" s="223"/>
      <c r="AF140" s="201"/>
      <c r="AH140" s="124">
        <v>0</v>
      </c>
      <c r="AI140" s="223"/>
      <c r="AJ140" s="201"/>
    </row>
    <row r="141" spans="1:36" ht="13.35" hidden="1" customHeight="1" outlineLevel="1" x14ac:dyDescent="0.3">
      <c r="A141" s="216" t="s">
        <v>217</v>
      </c>
      <c r="B141" s="216" t="s">
        <v>218</v>
      </c>
      <c r="E141" s="172"/>
      <c r="F141" s="173"/>
      <c r="G141" s="174"/>
      <c r="H141" s="210">
        <v>3436100</v>
      </c>
      <c r="I141" s="131">
        <v>3436100</v>
      </c>
      <c r="J141" s="132">
        <f>I141-H141</f>
        <v>0</v>
      </c>
      <c r="K141" s="213">
        <v>3436000</v>
      </c>
      <c r="L141" s="213"/>
      <c r="M141" s="122">
        <f t="shared" si="121"/>
        <v>3436000</v>
      </c>
      <c r="N141" s="122"/>
      <c r="O141" s="122"/>
      <c r="P141" s="122">
        <f t="shared" si="122"/>
        <v>3436000</v>
      </c>
      <c r="Q141" s="224">
        <f>354035.51+2371309.61+681549.7+8367.29</f>
        <v>3415262.1100000003</v>
      </c>
      <c r="R141" s="225">
        <f>3545874-Q141</f>
        <v>130611.88999999966</v>
      </c>
      <c r="S141" s="135">
        <f t="shared" si="120"/>
        <v>3545874</v>
      </c>
      <c r="T141" s="136">
        <f t="shared" si="116"/>
        <v>0.96316510682556689</v>
      </c>
      <c r="U141" s="191">
        <f t="shared" si="117"/>
        <v>109774</v>
      </c>
      <c r="V141" s="137">
        <f t="shared" si="118"/>
        <v>-109874</v>
      </c>
      <c r="W141" s="201">
        <f t="shared" si="119"/>
        <v>-3.1977299185098951E-2</v>
      </c>
      <c r="X141" s="198"/>
      <c r="Y141" s="199"/>
      <c r="Z141" s="156">
        <f>'[1]2021-22'!C900</f>
        <v>3051269.86</v>
      </c>
      <c r="AA141" s="200">
        <f>O141-Z141</f>
        <v>-3051269.86</v>
      </c>
      <c r="AB141" s="201">
        <f>IF(ISERR(AA141/Z141),"-",AA141/Z141)</f>
        <v>-1</v>
      </c>
      <c r="AC141" s="199"/>
      <c r="AD141" s="156">
        <v>2727870.63</v>
      </c>
      <c r="AE141" s="200">
        <f>S141-AD141</f>
        <v>818003.37000000011</v>
      </c>
      <c r="AF141" s="201">
        <f>IF(ISERR(AE141/AD141),"-",AE141/AD141)</f>
        <v>0.29986882845686863</v>
      </c>
      <c r="AH141" s="156">
        <v>2597763.33</v>
      </c>
      <c r="AI141" s="200">
        <f>S141-AH141</f>
        <v>948110.66999999993</v>
      </c>
      <c r="AJ141" s="201">
        <f>IF(ISERR(AI141/AH141),"-",AI141/AH141)</f>
        <v>0.36497191990157157</v>
      </c>
    </row>
    <row r="142" spans="1:36" ht="13.35" hidden="1" customHeight="1" outlineLevel="1" x14ac:dyDescent="0.3">
      <c r="A142" s="216" t="s">
        <v>219</v>
      </c>
      <c r="B142" s="216" t="s">
        <v>142</v>
      </c>
      <c r="E142" s="172"/>
      <c r="F142" s="173"/>
      <c r="G142" s="174"/>
      <c r="H142" s="210"/>
      <c r="I142" s="131"/>
      <c r="J142" s="132">
        <f>I142-H142</f>
        <v>0</v>
      </c>
      <c r="K142" s="213"/>
      <c r="L142" s="213"/>
      <c r="M142" s="122">
        <f t="shared" si="121"/>
        <v>0</v>
      </c>
      <c r="N142" s="122"/>
      <c r="O142" s="122"/>
      <c r="P142" s="122">
        <f t="shared" si="122"/>
        <v>0</v>
      </c>
      <c r="Q142" s="224"/>
      <c r="R142" s="225"/>
      <c r="S142" s="135">
        <f t="shared" si="120"/>
        <v>0</v>
      </c>
      <c r="T142" s="136" t="str">
        <f t="shared" si="116"/>
        <v>-</v>
      </c>
      <c r="U142" s="191">
        <f t="shared" si="117"/>
        <v>0</v>
      </c>
      <c r="V142" s="137">
        <f t="shared" si="118"/>
        <v>0</v>
      </c>
      <c r="W142" s="201" t="str">
        <f t="shared" si="119"/>
        <v>-</v>
      </c>
      <c r="X142" s="198"/>
      <c r="Y142" s="199"/>
      <c r="Z142" s="156">
        <f>'[1]2021-22'!C901</f>
        <v>232.52</v>
      </c>
      <c r="AA142" s="200">
        <f t="shared" ref="AA142:AA154" si="123">O142-Z142</f>
        <v>-232.52</v>
      </c>
      <c r="AB142" s="201">
        <f t="shared" ref="AB142:AB155" si="124">IF(ISERR(AA142/Z142),"-",AA142/Z142)</f>
        <v>-1</v>
      </c>
      <c r="AC142" s="199"/>
      <c r="AD142" s="156">
        <v>0</v>
      </c>
      <c r="AE142" s="200">
        <f t="shared" ref="AE142:AE154" si="125">S142-AD142</f>
        <v>0</v>
      </c>
      <c r="AF142" s="201" t="str">
        <f t="shared" ref="AF142:AF155" si="126">IF(ISERR(AE142/AD142),"-",AE142/AD142)</f>
        <v>-</v>
      </c>
      <c r="AH142" s="156">
        <v>14017</v>
      </c>
      <c r="AI142" s="200">
        <f t="shared" ref="AI142:AI154" si="127">S142-AH142</f>
        <v>-14017</v>
      </c>
      <c r="AJ142" s="201">
        <f>IF(ISERR(AI142/AH142),"-",AI142/AH142)</f>
        <v>-1</v>
      </c>
    </row>
    <row r="143" spans="1:36" ht="13.35" hidden="1" customHeight="1" outlineLevel="1" x14ac:dyDescent="0.3">
      <c r="A143" s="216" t="s">
        <v>220</v>
      </c>
      <c r="B143" s="216" t="s">
        <v>221</v>
      </c>
      <c r="E143" s="172"/>
      <c r="F143" s="173"/>
      <c r="G143" s="174"/>
      <c r="H143" s="210"/>
      <c r="I143" s="131"/>
      <c r="J143" s="132">
        <f>I143-H143</f>
        <v>0</v>
      </c>
      <c r="K143" s="213"/>
      <c r="L143" s="213"/>
      <c r="M143" s="122">
        <f t="shared" si="121"/>
        <v>0</v>
      </c>
      <c r="N143" s="122"/>
      <c r="O143" s="122"/>
      <c r="P143" s="122">
        <f t="shared" si="122"/>
        <v>0</v>
      </c>
      <c r="Q143" s="224">
        <f>11456.76+689762.62+95364.87</f>
        <v>796584.25</v>
      </c>
      <c r="R143" s="225">
        <f>850000-Q143</f>
        <v>53415.75</v>
      </c>
      <c r="S143" s="135">
        <f t="shared" si="120"/>
        <v>850000</v>
      </c>
      <c r="T143" s="136">
        <f t="shared" si="116"/>
        <v>0.93715794117647055</v>
      </c>
      <c r="U143" s="191">
        <f t="shared" si="117"/>
        <v>850000</v>
      </c>
      <c r="V143" s="137">
        <f t="shared" si="118"/>
        <v>-850000</v>
      </c>
      <c r="W143" s="201" t="str">
        <f t="shared" si="119"/>
        <v>-</v>
      </c>
      <c r="X143" s="198"/>
      <c r="Y143" s="199"/>
      <c r="Z143" s="156">
        <f>'[1]2021-22'!C902</f>
        <v>131938.21</v>
      </c>
      <c r="AA143" s="200">
        <f t="shared" si="123"/>
        <v>-131938.21</v>
      </c>
      <c r="AB143" s="201">
        <f t="shared" si="124"/>
        <v>-1</v>
      </c>
      <c r="AC143" s="199"/>
      <c r="AD143" s="156">
        <v>112565.65</v>
      </c>
      <c r="AE143" s="200">
        <f t="shared" si="125"/>
        <v>737434.35</v>
      </c>
      <c r="AF143" s="201">
        <f t="shared" si="126"/>
        <v>6.5511490405820956</v>
      </c>
      <c r="AH143" s="156">
        <v>109062.56</v>
      </c>
      <c r="AI143" s="200">
        <f t="shared" si="127"/>
        <v>740937.44</v>
      </c>
      <c r="AJ143" s="201">
        <f>IF(ISERR(AI143/AH143),"-",AI143/AH143)</f>
        <v>6.7936919874244648</v>
      </c>
    </row>
    <row r="144" spans="1:36" ht="13.35" hidden="1" customHeight="1" outlineLevel="1" x14ac:dyDescent="0.3">
      <c r="A144" s="51" t="s">
        <v>222</v>
      </c>
      <c r="B144" s="51" t="s">
        <v>223</v>
      </c>
      <c r="E144" s="172"/>
      <c r="F144" s="173"/>
      <c r="G144" s="174"/>
      <c r="H144" s="210"/>
      <c r="I144" s="131"/>
      <c r="J144" s="132">
        <f t="shared" ref="J144:J145" si="128">I144-H144</f>
        <v>0</v>
      </c>
      <c r="K144" s="213"/>
      <c r="L144" s="213"/>
      <c r="M144" s="122">
        <f t="shared" si="121"/>
        <v>0</v>
      </c>
      <c r="N144" s="122"/>
      <c r="O144" s="122"/>
      <c r="P144" s="122">
        <f t="shared" si="122"/>
        <v>0</v>
      </c>
      <c r="Q144" s="224"/>
      <c r="R144" s="225"/>
      <c r="S144" s="135">
        <f t="shared" si="120"/>
        <v>0</v>
      </c>
      <c r="T144" s="136" t="str">
        <f t="shared" si="116"/>
        <v>-</v>
      </c>
      <c r="U144" s="191">
        <f t="shared" si="117"/>
        <v>0</v>
      </c>
      <c r="V144" s="137">
        <f t="shared" si="118"/>
        <v>0</v>
      </c>
      <c r="W144" s="201" t="str">
        <f t="shared" si="119"/>
        <v>-</v>
      </c>
      <c r="X144" s="198"/>
      <c r="Y144" s="199"/>
      <c r="Z144" s="156">
        <f>'[1]2021-22'!C903</f>
        <v>490934.3</v>
      </c>
      <c r="AA144" s="200">
        <f t="shared" si="123"/>
        <v>-490934.3</v>
      </c>
      <c r="AB144" s="201">
        <f t="shared" si="124"/>
        <v>-1</v>
      </c>
      <c r="AC144" s="199"/>
      <c r="AD144" s="156">
        <v>378287.79</v>
      </c>
      <c r="AE144" s="200">
        <f t="shared" si="125"/>
        <v>-378287.79</v>
      </c>
      <c r="AF144" s="201">
        <f t="shared" si="126"/>
        <v>-1</v>
      </c>
      <c r="AH144" s="156">
        <v>330379.43</v>
      </c>
      <c r="AI144" s="200">
        <f t="shared" si="127"/>
        <v>-330379.43</v>
      </c>
      <c r="AJ144" s="201">
        <f t="shared" ref="AJ144:AJ145" si="129">IF(ISERR(AI144/AH144),"-",AI144/AH144)</f>
        <v>-1</v>
      </c>
    </row>
    <row r="145" spans="1:36" ht="13.35" hidden="1" customHeight="1" outlineLevel="1" x14ac:dyDescent="0.3">
      <c r="A145" s="51" t="s">
        <v>224</v>
      </c>
      <c r="B145" s="51" t="s">
        <v>225</v>
      </c>
      <c r="E145" s="172"/>
      <c r="F145" s="173"/>
      <c r="G145" s="174"/>
      <c r="H145" s="210"/>
      <c r="I145" s="131"/>
      <c r="J145" s="132">
        <f t="shared" si="128"/>
        <v>0</v>
      </c>
      <c r="K145" s="213"/>
      <c r="L145" s="213"/>
      <c r="M145" s="122">
        <f t="shared" si="121"/>
        <v>0</v>
      </c>
      <c r="N145" s="122"/>
      <c r="O145" s="122"/>
      <c r="P145" s="122">
        <f t="shared" si="122"/>
        <v>0</v>
      </c>
      <c r="Q145" s="224">
        <v>33238</v>
      </c>
      <c r="R145" s="225">
        <f>P145-Q145</f>
        <v>-33238</v>
      </c>
      <c r="S145" s="135">
        <f t="shared" si="120"/>
        <v>0</v>
      </c>
      <c r="T145" s="136" t="str">
        <f t="shared" si="116"/>
        <v>-</v>
      </c>
      <c r="U145" s="191">
        <f t="shared" si="117"/>
        <v>0</v>
      </c>
      <c r="V145" s="137">
        <f t="shared" si="118"/>
        <v>0</v>
      </c>
      <c r="W145" s="201" t="str">
        <f t="shared" si="119"/>
        <v>-</v>
      </c>
      <c r="X145" s="198"/>
      <c r="Y145" s="199"/>
      <c r="Z145" s="156">
        <f>'[1]2021-22'!C904</f>
        <v>8662</v>
      </c>
      <c r="AA145" s="200">
        <f t="shared" si="123"/>
        <v>-8662</v>
      </c>
      <c r="AB145" s="201">
        <f t="shared" si="124"/>
        <v>-1</v>
      </c>
      <c r="AC145" s="199"/>
      <c r="AD145" s="156">
        <v>30867</v>
      </c>
      <c r="AE145" s="200">
        <f t="shared" si="125"/>
        <v>-30867</v>
      </c>
      <c r="AF145" s="201">
        <f t="shared" si="126"/>
        <v>-1</v>
      </c>
      <c r="AH145" s="156">
        <v>20145</v>
      </c>
      <c r="AI145" s="200">
        <f t="shared" si="127"/>
        <v>-20145</v>
      </c>
      <c r="AJ145" s="201">
        <f t="shared" si="129"/>
        <v>-1</v>
      </c>
    </row>
    <row r="146" spans="1:36" ht="13.35" hidden="1" customHeight="1" outlineLevel="1" x14ac:dyDescent="0.3">
      <c r="A146" s="51" t="s">
        <v>226</v>
      </c>
      <c r="B146" s="51" t="s">
        <v>227</v>
      </c>
      <c r="E146" s="172"/>
      <c r="F146" s="173"/>
      <c r="G146" s="174"/>
      <c r="H146" s="211">
        <v>161100</v>
      </c>
      <c r="I146" s="131">
        <f>161100+80000</f>
        <v>241100</v>
      </c>
      <c r="J146" s="132">
        <f>I146-H146</f>
        <v>80000</v>
      </c>
      <c r="K146" s="213">
        <v>161100</v>
      </c>
      <c r="L146" s="213"/>
      <c r="M146" s="122">
        <f t="shared" si="121"/>
        <v>161100</v>
      </c>
      <c r="N146" s="122"/>
      <c r="O146" s="122">
        <v>80000</v>
      </c>
      <c r="P146" s="122">
        <f t="shared" si="122"/>
        <v>241100</v>
      </c>
      <c r="Q146" s="224">
        <f>33010.93+141788.28</f>
        <v>174799.21</v>
      </c>
      <c r="R146" s="225">
        <f>P146-Q146</f>
        <v>66300.790000000008</v>
      </c>
      <c r="S146" s="135">
        <f t="shared" si="120"/>
        <v>241100</v>
      </c>
      <c r="T146" s="136">
        <f t="shared" si="116"/>
        <v>0.72500709249274153</v>
      </c>
      <c r="U146" s="191">
        <f t="shared" si="117"/>
        <v>0</v>
      </c>
      <c r="V146" s="137">
        <f t="shared" si="118"/>
        <v>0</v>
      </c>
      <c r="W146" s="201">
        <f t="shared" si="119"/>
        <v>0</v>
      </c>
      <c r="X146" s="198"/>
      <c r="Y146" s="199"/>
      <c r="Z146" s="156">
        <f>'[1]2021-22'!C905</f>
        <v>208628.01</v>
      </c>
      <c r="AA146" s="200">
        <f t="shared" si="123"/>
        <v>-128628.01000000001</v>
      </c>
      <c r="AB146" s="201">
        <f t="shared" si="124"/>
        <v>-0.61654238086247382</v>
      </c>
      <c r="AC146" s="199"/>
      <c r="AD146" s="156">
        <v>91523.72</v>
      </c>
      <c r="AE146" s="200">
        <f t="shared" si="125"/>
        <v>149576.28</v>
      </c>
      <c r="AF146" s="201">
        <f t="shared" si="126"/>
        <v>1.6342897775571186</v>
      </c>
      <c r="AH146" s="156">
        <v>86854.12</v>
      </c>
      <c r="AI146" s="200">
        <f t="shared" si="127"/>
        <v>154245.88</v>
      </c>
      <c r="AJ146" s="201">
        <f>IF(ISERR(AI146/AH146),"-",AI146/AH146)</f>
        <v>1.775918977706527</v>
      </c>
    </row>
    <row r="147" spans="1:36" ht="13.35" hidden="1" customHeight="1" outlineLevel="1" x14ac:dyDescent="0.3">
      <c r="A147" s="216" t="s">
        <v>228</v>
      </c>
      <c r="B147" s="216" t="s">
        <v>229</v>
      </c>
      <c r="C147" s="125"/>
      <c r="D147" s="125"/>
      <c r="E147" s="266"/>
      <c r="F147" s="267"/>
      <c r="G147" s="268"/>
      <c r="H147" s="211">
        <v>12208500</v>
      </c>
      <c r="I147" s="131">
        <v>12208500</v>
      </c>
      <c r="J147" s="132">
        <f>I147-H147</f>
        <v>0</v>
      </c>
      <c r="K147" s="270">
        <v>12208400</v>
      </c>
      <c r="L147" s="270"/>
      <c r="M147" s="122">
        <f>K147+L147</f>
        <v>12208400</v>
      </c>
      <c r="N147" s="122"/>
      <c r="O147" s="122"/>
      <c r="P147" s="122">
        <f>M147+N147+O147</f>
        <v>12208400</v>
      </c>
      <c r="Q147" s="269">
        <f>1418255.99+7096370.57</f>
        <v>8514626.5600000005</v>
      </c>
      <c r="R147" s="265">
        <f>12173551-Q147</f>
        <v>3658924.4399999995</v>
      </c>
      <c r="S147" s="135">
        <f t="shared" si="120"/>
        <v>12173551</v>
      </c>
      <c r="T147" s="136">
        <f>IF(ISERR(Q147/S147),"-",Q147/S147)</f>
        <v>0.69943655388637227</v>
      </c>
      <c r="U147" s="191">
        <f>S147-I147</f>
        <v>-34949</v>
      </c>
      <c r="V147" s="137">
        <f>P147-S147</f>
        <v>34849</v>
      </c>
      <c r="W147" s="201">
        <f t="shared" si="119"/>
        <v>2.8545100095016544E-3</v>
      </c>
      <c r="X147" s="154"/>
      <c r="Y147" s="155"/>
      <c r="Z147" s="156">
        <f>'[1]2021-22'!C906</f>
        <v>9063423.1199999992</v>
      </c>
      <c r="AA147" s="200">
        <f t="shared" si="123"/>
        <v>-9063423.1199999992</v>
      </c>
      <c r="AB147" s="201">
        <f t="shared" si="124"/>
        <v>-1</v>
      </c>
      <c r="AC147" s="155"/>
      <c r="AD147" s="156">
        <v>7524502.54</v>
      </c>
      <c r="AE147" s="200">
        <f t="shared" si="125"/>
        <v>4649048.46</v>
      </c>
      <c r="AF147" s="201">
        <f t="shared" si="126"/>
        <v>0.61785459374700402</v>
      </c>
      <c r="AH147" s="156">
        <v>7062262.5199999996</v>
      </c>
      <c r="AI147" s="200">
        <f t="shared" si="127"/>
        <v>5111288.4800000004</v>
      </c>
      <c r="AJ147" s="201">
        <f t="shared" ref="AJ147:AJ155" si="130">IF(ISERR(AI147/AH147),"-",AI147/AH147)</f>
        <v>0.72374659898652438</v>
      </c>
    </row>
    <row r="148" spans="1:36" ht="13.35" hidden="1" customHeight="1" outlineLevel="1" x14ac:dyDescent="0.3">
      <c r="A148" s="51" t="s">
        <v>230</v>
      </c>
      <c r="B148" s="51" t="s">
        <v>231</v>
      </c>
      <c r="E148" s="172"/>
      <c r="F148" s="173"/>
      <c r="G148" s="174"/>
      <c r="H148" s="211">
        <v>2672700</v>
      </c>
      <c r="I148" s="131">
        <v>2672700</v>
      </c>
      <c r="J148" s="132">
        <f t="shared" ref="J148:J154" si="131">I148-H148</f>
        <v>0</v>
      </c>
      <c r="K148" s="213">
        <v>2672800</v>
      </c>
      <c r="L148" s="213"/>
      <c r="M148" s="122">
        <f t="shared" si="121"/>
        <v>2672800</v>
      </c>
      <c r="N148" s="122"/>
      <c r="O148" s="122"/>
      <c r="P148" s="122">
        <f t="shared" si="122"/>
        <v>2672800</v>
      </c>
      <c r="Q148" s="224">
        <f>508408.99+2248698.57</f>
        <v>2757107.5599999996</v>
      </c>
      <c r="R148" s="225">
        <f>2800000-Q148</f>
        <v>42892.44000000041</v>
      </c>
      <c r="S148" s="135">
        <f t="shared" si="120"/>
        <v>2800000</v>
      </c>
      <c r="T148" s="136">
        <f t="shared" si="116"/>
        <v>0.98468127142857131</v>
      </c>
      <c r="U148" s="191">
        <f t="shared" si="117"/>
        <v>127300</v>
      </c>
      <c r="V148" s="137">
        <f t="shared" si="118"/>
        <v>-127200</v>
      </c>
      <c r="W148" s="201">
        <f t="shared" si="119"/>
        <v>-4.7590541753965876E-2</v>
      </c>
      <c r="X148" s="154"/>
      <c r="Y148" s="155"/>
      <c r="Z148" s="156">
        <f>'[1]2021-22'!C907</f>
        <v>2187648.86</v>
      </c>
      <c r="AA148" s="200">
        <f t="shared" si="123"/>
        <v>-2187648.86</v>
      </c>
      <c r="AB148" s="201">
        <f t="shared" si="124"/>
        <v>-1</v>
      </c>
      <c r="AC148" s="155"/>
      <c r="AD148" s="156">
        <v>1978213.57</v>
      </c>
      <c r="AE148" s="200">
        <f t="shared" si="125"/>
        <v>821786.42999999993</v>
      </c>
      <c r="AF148" s="201">
        <f t="shared" si="126"/>
        <v>0.41541845757331447</v>
      </c>
      <c r="AH148" s="156">
        <v>1920431.17</v>
      </c>
      <c r="AI148" s="200">
        <f t="shared" si="127"/>
        <v>879568.83000000007</v>
      </c>
      <c r="AJ148" s="201">
        <f t="shared" si="130"/>
        <v>0.45800591228687465</v>
      </c>
    </row>
    <row r="149" spans="1:36" ht="13.35" hidden="1" customHeight="1" outlineLevel="1" x14ac:dyDescent="0.3">
      <c r="A149" s="216" t="s">
        <v>232</v>
      </c>
      <c r="B149" s="216" t="s">
        <v>233</v>
      </c>
      <c r="C149" s="125"/>
      <c r="D149" s="125"/>
      <c r="E149" s="266"/>
      <c r="F149" s="267"/>
      <c r="G149" s="268"/>
      <c r="H149" s="211">
        <v>4114000</v>
      </c>
      <c r="I149" s="131">
        <v>4114000</v>
      </c>
      <c r="J149" s="132">
        <f t="shared" si="131"/>
        <v>0</v>
      </c>
      <c r="K149" s="270">
        <v>4114000</v>
      </c>
      <c r="L149" s="270"/>
      <c r="M149" s="122">
        <f t="shared" si="121"/>
        <v>4114000</v>
      </c>
      <c r="N149" s="122"/>
      <c r="O149" s="122"/>
      <c r="P149" s="122">
        <f t="shared" si="122"/>
        <v>4114000</v>
      </c>
      <c r="Q149" s="269">
        <f>512775.48+3651055.41</f>
        <v>4163830.89</v>
      </c>
      <c r="R149" s="265">
        <f>4200000-Q149</f>
        <v>36169.10999999987</v>
      </c>
      <c r="S149" s="135">
        <f t="shared" si="120"/>
        <v>4200000</v>
      </c>
      <c r="T149" s="136">
        <f t="shared" si="116"/>
        <v>0.99138830714285719</v>
      </c>
      <c r="U149" s="191">
        <f t="shared" si="117"/>
        <v>86000</v>
      </c>
      <c r="V149" s="137">
        <f t="shared" si="118"/>
        <v>-86000</v>
      </c>
      <c r="W149" s="201">
        <f t="shared" si="119"/>
        <v>-2.0904229460379193E-2</v>
      </c>
      <c r="X149" s="154"/>
      <c r="Y149" s="155"/>
      <c r="Z149" s="156">
        <f>'[1]2021-22'!C908</f>
        <v>3349822.82</v>
      </c>
      <c r="AA149" s="200">
        <f t="shared" si="123"/>
        <v>-3349822.82</v>
      </c>
      <c r="AB149" s="201">
        <f t="shared" si="124"/>
        <v>-1</v>
      </c>
      <c r="AC149" s="155"/>
      <c r="AD149" s="156">
        <v>3086338.97</v>
      </c>
      <c r="AE149" s="200">
        <f t="shared" si="125"/>
        <v>1113661.0299999998</v>
      </c>
      <c r="AF149" s="201">
        <f t="shared" si="126"/>
        <v>0.36083561813043491</v>
      </c>
      <c r="AH149" s="156">
        <v>3078398.05</v>
      </c>
      <c r="AI149" s="200">
        <f t="shared" si="127"/>
        <v>1121601.9500000002</v>
      </c>
      <c r="AJ149" s="201">
        <f t="shared" si="130"/>
        <v>0.36434597858454343</v>
      </c>
    </row>
    <row r="150" spans="1:36" ht="13.35" hidden="1" customHeight="1" outlineLevel="1" x14ac:dyDescent="0.3">
      <c r="A150" s="216" t="s">
        <v>234</v>
      </c>
      <c r="B150" s="216" t="s">
        <v>235</v>
      </c>
      <c r="C150" s="125"/>
      <c r="D150" s="125"/>
      <c r="E150" s="266"/>
      <c r="F150" s="267"/>
      <c r="G150" s="268"/>
      <c r="H150" s="156">
        <v>142700</v>
      </c>
      <c r="I150" s="131">
        <v>142700</v>
      </c>
      <c r="J150" s="132">
        <f t="shared" si="131"/>
        <v>0</v>
      </c>
      <c r="K150" s="270">
        <v>142700</v>
      </c>
      <c r="L150" s="270"/>
      <c r="M150" s="122">
        <f t="shared" si="121"/>
        <v>142700</v>
      </c>
      <c r="N150" s="122"/>
      <c r="O150" s="122"/>
      <c r="P150" s="122">
        <f t="shared" si="122"/>
        <v>142700</v>
      </c>
      <c r="Q150" s="269"/>
      <c r="R150" s="265">
        <f>P150-Q150</f>
        <v>142700</v>
      </c>
      <c r="S150" s="135">
        <f t="shared" si="120"/>
        <v>142700</v>
      </c>
      <c r="T150" s="136">
        <f t="shared" si="116"/>
        <v>0</v>
      </c>
      <c r="U150" s="191">
        <f t="shared" si="117"/>
        <v>0</v>
      </c>
      <c r="V150" s="137">
        <f t="shared" si="118"/>
        <v>0</v>
      </c>
      <c r="W150" s="201">
        <f t="shared" si="119"/>
        <v>0</v>
      </c>
      <c r="X150" s="154"/>
      <c r="Y150" s="155"/>
      <c r="Z150" s="156">
        <f>'[1]2021-22'!C910</f>
        <v>146721</v>
      </c>
      <c r="AA150" s="200">
        <f t="shared" si="123"/>
        <v>-146721</v>
      </c>
      <c r="AB150" s="201">
        <f t="shared" si="124"/>
        <v>-1</v>
      </c>
      <c r="AC150" s="155"/>
      <c r="AD150" s="156">
        <v>123840</v>
      </c>
      <c r="AE150" s="200">
        <f t="shared" si="125"/>
        <v>18860</v>
      </c>
      <c r="AF150" s="201">
        <f t="shared" si="126"/>
        <v>0.15229328165374678</v>
      </c>
      <c r="AH150" s="156">
        <v>120958.26</v>
      </c>
      <c r="AI150" s="200">
        <f t="shared" si="127"/>
        <v>21741.740000000005</v>
      </c>
      <c r="AJ150" s="201">
        <f t="shared" si="130"/>
        <v>0.17974580652863231</v>
      </c>
    </row>
    <row r="151" spans="1:36" ht="13.35" hidden="1" customHeight="1" outlineLevel="1" x14ac:dyDescent="0.3">
      <c r="A151" s="216" t="s">
        <v>236</v>
      </c>
      <c r="B151" s="216" t="s">
        <v>237</v>
      </c>
      <c r="C151" s="125"/>
      <c r="D151" s="125"/>
      <c r="E151" s="266"/>
      <c r="F151" s="267"/>
      <c r="G151" s="268"/>
      <c r="H151" s="156">
        <v>38900</v>
      </c>
      <c r="I151" s="131">
        <v>38900</v>
      </c>
      <c r="J151" s="132">
        <f t="shared" si="131"/>
        <v>0</v>
      </c>
      <c r="K151" s="270">
        <v>38800</v>
      </c>
      <c r="L151" s="270"/>
      <c r="M151" s="122">
        <f t="shared" si="121"/>
        <v>38800</v>
      </c>
      <c r="N151" s="122"/>
      <c r="O151" s="122"/>
      <c r="P151" s="122">
        <f t="shared" si="122"/>
        <v>38800</v>
      </c>
      <c r="Q151" s="269">
        <f>25973.04+300</f>
        <v>26273.040000000001</v>
      </c>
      <c r="R151" s="265">
        <f>P151-Q151</f>
        <v>12526.96</v>
      </c>
      <c r="S151" s="135">
        <f t="shared" si="120"/>
        <v>38800</v>
      </c>
      <c r="T151" s="136">
        <f t="shared" si="116"/>
        <v>0.67714020618556703</v>
      </c>
      <c r="U151" s="191">
        <f t="shared" si="117"/>
        <v>-100</v>
      </c>
      <c r="V151" s="137">
        <f t="shared" si="118"/>
        <v>0</v>
      </c>
      <c r="W151" s="201">
        <f t="shared" si="119"/>
        <v>0</v>
      </c>
      <c r="X151" s="154"/>
      <c r="Y151" s="155"/>
      <c r="Z151" s="156">
        <f>'[1]2021-22'!C911</f>
        <v>24860.87</v>
      </c>
      <c r="AA151" s="200">
        <f t="shared" si="123"/>
        <v>-24860.87</v>
      </c>
      <c r="AB151" s="201">
        <f t="shared" si="124"/>
        <v>-1</v>
      </c>
      <c r="AC151" s="155"/>
      <c r="AD151" s="156">
        <v>25252.17</v>
      </c>
      <c r="AE151" s="200">
        <f t="shared" si="125"/>
        <v>13547.830000000002</v>
      </c>
      <c r="AF151" s="201">
        <f t="shared" si="126"/>
        <v>0.53650161550472708</v>
      </c>
      <c r="AH151" s="156">
        <v>27150</v>
      </c>
      <c r="AI151" s="200">
        <f t="shared" si="127"/>
        <v>11650</v>
      </c>
      <c r="AJ151" s="201">
        <f t="shared" si="130"/>
        <v>0.42909760589318602</v>
      </c>
    </row>
    <row r="152" spans="1:36" ht="13.35" hidden="1" customHeight="1" outlineLevel="1" x14ac:dyDescent="0.3">
      <c r="A152" s="216" t="s">
        <v>238</v>
      </c>
      <c r="B152" s="216" t="s">
        <v>239</v>
      </c>
      <c r="C152" s="125"/>
      <c r="D152" s="125"/>
      <c r="E152" s="266"/>
      <c r="F152" s="267"/>
      <c r="G152" s="268"/>
      <c r="H152" s="156">
        <v>20500</v>
      </c>
      <c r="I152" s="131">
        <v>20500</v>
      </c>
      <c r="J152" s="132">
        <f t="shared" si="131"/>
        <v>0</v>
      </c>
      <c r="K152" s="270">
        <v>20500</v>
      </c>
      <c r="L152" s="270"/>
      <c r="M152" s="122">
        <f t="shared" si="121"/>
        <v>20500</v>
      </c>
      <c r="N152" s="122"/>
      <c r="O152" s="122"/>
      <c r="P152" s="122">
        <f t="shared" si="122"/>
        <v>20500</v>
      </c>
      <c r="Q152" s="269">
        <f>5518.38+818.74</f>
        <v>6337.12</v>
      </c>
      <c r="R152" s="265">
        <f>P152-Q152</f>
        <v>14162.880000000001</v>
      </c>
      <c r="S152" s="135">
        <f t="shared" si="120"/>
        <v>20500</v>
      </c>
      <c r="T152" s="136">
        <f t="shared" si="116"/>
        <v>0.30912780487804875</v>
      </c>
      <c r="U152" s="191">
        <f t="shared" si="117"/>
        <v>0</v>
      </c>
      <c r="V152" s="137">
        <f t="shared" si="118"/>
        <v>0</v>
      </c>
      <c r="W152" s="201">
        <f t="shared" si="119"/>
        <v>0</v>
      </c>
      <c r="X152" s="154"/>
      <c r="Y152" s="155"/>
      <c r="Z152" s="156">
        <f>'[1]2021-22'!C912</f>
        <v>5565.65</v>
      </c>
      <c r="AA152" s="200">
        <f t="shared" si="123"/>
        <v>-5565.65</v>
      </c>
      <c r="AB152" s="201">
        <f t="shared" si="124"/>
        <v>-1</v>
      </c>
      <c r="AC152" s="155"/>
      <c r="AD152" s="156">
        <v>5785.4</v>
      </c>
      <c r="AE152" s="200">
        <f t="shared" si="125"/>
        <v>14714.6</v>
      </c>
      <c r="AF152" s="201">
        <f t="shared" si="126"/>
        <v>2.5434023576589349</v>
      </c>
      <c r="AH152" s="156">
        <v>6738</v>
      </c>
      <c r="AI152" s="200">
        <f t="shared" si="127"/>
        <v>13762</v>
      </c>
      <c r="AJ152" s="201">
        <f t="shared" si="130"/>
        <v>2.0424458296230337</v>
      </c>
    </row>
    <row r="153" spans="1:36" ht="13.35" hidden="1" customHeight="1" outlineLevel="1" x14ac:dyDescent="0.3">
      <c r="A153" s="51" t="s">
        <v>240</v>
      </c>
      <c r="B153" s="51" t="s">
        <v>241</v>
      </c>
      <c r="E153" s="172"/>
      <c r="F153" s="173"/>
      <c r="G153" s="174"/>
      <c r="H153" s="156">
        <f>3700+56900</f>
        <v>60600</v>
      </c>
      <c r="I153" s="131">
        <v>60600</v>
      </c>
      <c r="J153" s="132">
        <f t="shared" si="131"/>
        <v>0</v>
      </c>
      <c r="K153" s="213">
        <f>60600+9000+26600</f>
        <v>96200</v>
      </c>
      <c r="L153" s="213"/>
      <c r="M153" s="122">
        <f t="shared" si="121"/>
        <v>96200</v>
      </c>
      <c r="N153" s="122"/>
      <c r="O153" s="122">
        <f>-9000-26600</f>
        <v>-35600</v>
      </c>
      <c r="P153" s="122">
        <f t="shared" si="122"/>
        <v>60600</v>
      </c>
      <c r="Q153" s="224">
        <f>300+2956.52+308.07+31.15+32112.71+175.65</f>
        <v>35884.1</v>
      </c>
      <c r="R153" s="225">
        <f>P153-Q153</f>
        <v>24715.9</v>
      </c>
      <c r="S153" s="135">
        <f t="shared" si="120"/>
        <v>60600</v>
      </c>
      <c r="T153" s="136">
        <f t="shared" si="116"/>
        <v>0.5921468646864686</v>
      </c>
      <c r="U153" s="191">
        <f t="shared" si="117"/>
        <v>0</v>
      </c>
      <c r="V153" s="137">
        <f t="shared" si="118"/>
        <v>0</v>
      </c>
      <c r="W153" s="201">
        <f t="shared" si="119"/>
        <v>0</v>
      </c>
      <c r="X153" s="154"/>
      <c r="Y153" s="155"/>
      <c r="Z153" s="156">
        <f>'[1]2021-22'!C913+SUM('[1]2021-22'!C915:C932)</f>
        <v>86987.33</v>
      </c>
      <c r="AA153" s="200">
        <f t="shared" si="123"/>
        <v>-122587.33</v>
      </c>
      <c r="AB153" s="201">
        <f t="shared" si="124"/>
        <v>-1.4092550029987125</v>
      </c>
      <c r="AC153" s="155"/>
      <c r="AD153" s="156">
        <v>9971.1299999999992</v>
      </c>
      <c r="AE153" s="200">
        <f t="shared" si="125"/>
        <v>50628.87</v>
      </c>
      <c r="AF153" s="201">
        <f t="shared" si="126"/>
        <v>5.077545874940955</v>
      </c>
      <c r="AH153" s="156">
        <v>69031.079999999987</v>
      </c>
      <c r="AI153" s="200">
        <f t="shared" si="127"/>
        <v>-8431.0799999999872</v>
      </c>
      <c r="AJ153" s="201">
        <f t="shared" si="130"/>
        <v>-0.12213455156720696</v>
      </c>
    </row>
    <row r="154" spans="1:36" ht="13.35" hidden="1" customHeight="1" outlineLevel="1" x14ac:dyDescent="0.3">
      <c r="A154" s="51" t="s">
        <v>242</v>
      </c>
      <c r="B154" s="51" t="s">
        <v>243</v>
      </c>
      <c r="E154" s="172"/>
      <c r="F154" s="173"/>
      <c r="G154" s="174"/>
      <c r="H154" s="156"/>
      <c r="I154" s="131"/>
      <c r="J154" s="132">
        <f t="shared" si="131"/>
        <v>0</v>
      </c>
      <c r="K154" s="213"/>
      <c r="L154" s="213">
        <f>914547.6+97435.11+101807.48+128371.66</f>
        <v>1242161.8499999999</v>
      </c>
      <c r="M154" s="122">
        <f t="shared" si="121"/>
        <v>1242161.8499999999</v>
      </c>
      <c r="N154" s="122"/>
      <c r="O154" s="122"/>
      <c r="P154" s="122">
        <f t="shared" si="122"/>
        <v>1242161.8499999999</v>
      </c>
      <c r="Q154" s="224">
        <v>1242161.8500000001</v>
      </c>
      <c r="R154" s="225">
        <f>P154-Q154</f>
        <v>0</v>
      </c>
      <c r="S154" s="135">
        <f t="shared" si="120"/>
        <v>1242161.8500000001</v>
      </c>
      <c r="T154" s="136">
        <f t="shared" si="116"/>
        <v>1</v>
      </c>
      <c r="U154" s="191">
        <f t="shared" si="117"/>
        <v>1242161.8500000001</v>
      </c>
      <c r="V154" s="137">
        <f t="shared" si="118"/>
        <v>0</v>
      </c>
      <c r="W154" s="201">
        <f t="shared" si="119"/>
        <v>0</v>
      </c>
      <c r="X154" s="154"/>
      <c r="Y154" s="155"/>
      <c r="Z154" s="156">
        <f>'[1]2021-22'!C914</f>
        <v>971568.44</v>
      </c>
      <c r="AA154" s="200">
        <f t="shared" si="123"/>
        <v>-971568.44</v>
      </c>
      <c r="AB154" s="201">
        <f t="shared" si="124"/>
        <v>-1</v>
      </c>
      <c r="AC154" s="155"/>
      <c r="AD154" s="156">
        <v>1204623.8799999999</v>
      </c>
      <c r="AE154" s="200">
        <f t="shared" si="125"/>
        <v>37537.970000000205</v>
      </c>
      <c r="AF154" s="201">
        <f t="shared" si="126"/>
        <v>3.1161568870775008E-2</v>
      </c>
      <c r="AH154" s="156">
        <v>1043741.17</v>
      </c>
      <c r="AI154" s="200">
        <f t="shared" si="127"/>
        <v>198420.68000000005</v>
      </c>
      <c r="AJ154" s="201">
        <f t="shared" si="130"/>
        <v>0.19010525377666193</v>
      </c>
    </row>
    <row r="155" spans="1:36" ht="13.35" customHeight="1" collapsed="1" x14ac:dyDescent="0.3">
      <c r="A155" s="239" t="s">
        <v>244</v>
      </c>
      <c r="B155" s="10"/>
      <c r="E155" s="203">
        <f>SUM(E140:E153)</f>
        <v>0</v>
      </c>
      <c r="F155" s="258">
        <f>SUM(F140:F153)</f>
        <v>0</v>
      </c>
      <c r="G155" s="160">
        <f>SUM(G140:G153)</f>
        <v>0</v>
      </c>
      <c r="H155" s="165">
        <f t="shared" ref="H155:S155" si="132">SUM(H138:H154)</f>
        <v>22856200</v>
      </c>
      <c r="I155" s="163">
        <f t="shared" si="132"/>
        <v>22936200</v>
      </c>
      <c r="J155" s="163">
        <f t="shared" si="132"/>
        <v>80000</v>
      </c>
      <c r="K155" s="163">
        <f t="shared" si="132"/>
        <v>22891600</v>
      </c>
      <c r="L155" s="163">
        <f t="shared" si="132"/>
        <v>1242161.8499999999</v>
      </c>
      <c r="M155" s="163">
        <f t="shared" si="132"/>
        <v>24133761.850000001</v>
      </c>
      <c r="N155" s="163">
        <f t="shared" si="132"/>
        <v>0</v>
      </c>
      <c r="O155" s="164">
        <f t="shared" si="132"/>
        <v>44400</v>
      </c>
      <c r="P155" s="163">
        <f t="shared" si="132"/>
        <v>24178161.850000001</v>
      </c>
      <c r="Q155" s="165">
        <f t="shared" si="132"/>
        <v>22957253.090000004</v>
      </c>
      <c r="R155" s="163">
        <f t="shared" si="132"/>
        <v>2359133.7599999993</v>
      </c>
      <c r="S155" s="163">
        <f t="shared" si="132"/>
        <v>25316386.850000001</v>
      </c>
      <c r="T155" s="166">
        <f>IF(ISERR(Q155/S155),"-",Q155/S155)</f>
        <v>0.90681396306756157</v>
      </c>
      <c r="U155" s="205">
        <f>SUM(U140:U154)</f>
        <v>2380186.85</v>
      </c>
      <c r="V155" s="167">
        <f>SUM(V140:V154)</f>
        <v>-1138225</v>
      </c>
      <c r="W155" s="168">
        <f t="shared" si="119"/>
        <v>-4.7076572944688096E-2</v>
      </c>
      <c r="X155" s="169"/>
      <c r="Y155" s="155"/>
      <c r="Z155" s="170">
        <f>SUM(Z138:Z154)</f>
        <v>19731097.969999999</v>
      </c>
      <c r="AA155" s="271">
        <f>SUM(AA138:AA154)</f>
        <v>-19686697.969999999</v>
      </c>
      <c r="AB155" s="168">
        <f t="shared" si="124"/>
        <v>-0.99774974509439329</v>
      </c>
      <c r="AC155" s="155"/>
      <c r="AD155" s="170">
        <f>SUM(AD138:AD154)</f>
        <v>17316027.610000003</v>
      </c>
      <c r="AE155" s="271">
        <f>SUM(AE138:AE154)</f>
        <v>8000359.2399999984</v>
      </c>
      <c r="AF155" s="168">
        <f t="shared" si="126"/>
        <v>0.46202047144922498</v>
      </c>
      <c r="AH155" s="170">
        <f>SUM(AH138:AH154)</f>
        <v>16509362.269999998</v>
      </c>
      <c r="AI155" s="271">
        <f>SUM(AI138:AI154)</f>
        <v>8807024.5800000019</v>
      </c>
      <c r="AJ155" s="168">
        <f t="shared" si="130"/>
        <v>0.53345637681012636</v>
      </c>
    </row>
    <row r="156" spans="1:36" ht="13.35" customHeight="1" x14ac:dyDescent="0.3">
      <c r="A156" s="51"/>
      <c r="B156" s="51"/>
      <c r="E156" s="172"/>
      <c r="F156" s="173"/>
      <c r="G156" s="174"/>
      <c r="H156" s="240"/>
      <c r="I156" s="272"/>
      <c r="J156" s="272"/>
      <c r="K156" s="272"/>
      <c r="L156" s="272"/>
      <c r="M156" s="272"/>
      <c r="N156" s="272"/>
      <c r="O156" s="272"/>
      <c r="P156" s="272"/>
      <c r="Q156" s="273"/>
      <c r="R156" s="272"/>
      <c r="S156" s="272"/>
      <c r="T156" s="274"/>
      <c r="U156" s="275"/>
      <c r="V156" s="276"/>
      <c r="W156" s="277"/>
      <c r="X156" s="278"/>
      <c r="Y156" s="279"/>
      <c r="Z156" s="96"/>
      <c r="AA156" s="101"/>
      <c r="AB156" s="102"/>
      <c r="AC156" s="279"/>
      <c r="AD156" s="96"/>
      <c r="AE156" s="101"/>
      <c r="AF156" s="102"/>
      <c r="AH156" s="96"/>
      <c r="AI156" s="101"/>
      <c r="AJ156" s="102"/>
    </row>
    <row r="157" spans="1:36" ht="13.35" customHeight="1" x14ac:dyDescent="0.3">
      <c r="A157" s="51"/>
      <c r="B157" s="51"/>
      <c r="E157" s="172"/>
      <c r="F157" s="173"/>
      <c r="G157" s="174"/>
      <c r="H157" s="172"/>
      <c r="I157" s="272"/>
      <c r="J157" s="272"/>
      <c r="K157" s="272"/>
      <c r="L157" s="272"/>
      <c r="M157" s="272"/>
      <c r="N157" s="272"/>
      <c r="O157" s="272"/>
      <c r="P157" s="272"/>
      <c r="Q157" s="273"/>
      <c r="R157" s="272"/>
      <c r="S157" s="272"/>
      <c r="T157" s="136"/>
      <c r="U157" s="275"/>
      <c r="V157" s="276"/>
      <c r="W157" s="277"/>
      <c r="X157" s="278"/>
      <c r="Y157" s="279"/>
      <c r="Z157" s="96"/>
      <c r="AA157" s="101"/>
      <c r="AB157" s="102"/>
      <c r="AC157" s="279"/>
      <c r="AD157" s="96"/>
      <c r="AE157" s="101"/>
      <c r="AF157" s="102"/>
      <c r="AH157" s="96"/>
      <c r="AI157" s="101"/>
      <c r="AJ157" s="102"/>
    </row>
    <row r="158" spans="1:36" ht="13.35" hidden="1" customHeight="1" outlineLevel="1" x14ac:dyDescent="0.3">
      <c r="A158" s="251" t="s">
        <v>245</v>
      </c>
      <c r="B158" s="51"/>
      <c r="E158" s="172"/>
      <c r="F158" s="173"/>
      <c r="G158" s="174"/>
      <c r="H158" s="172"/>
      <c r="I158" s="272"/>
      <c r="J158" s="272"/>
      <c r="K158" s="272"/>
      <c r="L158" s="272"/>
      <c r="M158" s="272"/>
      <c r="N158" s="272"/>
      <c r="O158" s="272"/>
      <c r="P158" s="272"/>
      <c r="Q158" s="273"/>
      <c r="R158" s="272"/>
      <c r="S158" s="272"/>
      <c r="T158" s="136"/>
      <c r="U158" s="275"/>
      <c r="V158" s="276"/>
      <c r="W158" s="277"/>
      <c r="X158" s="278"/>
      <c r="Y158" s="279"/>
      <c r="Z158" s="96"/>
      <c r="AA158" s="101"/>
      <c r="AB158" s="102"/>
      <c r="AC158" s="279"/>
      <c r="AD158" s="96"/>
      <c r="AE158" s="101"/>
      <c r="AF158" s="102"/>
      <c r="AH158" s="96"/>
      <c r="AI158" s="101"/>
      <c r="AJ158" s="102"/>
    </row>
    <row r="159" spans="1:36" ht="13.35" hidden="1" customHeight="1" outlineLevel="1" x14ac:dyDescent="0.3">
      <c r="A159" s="216" t="s">
        <v>246</v>
      </c>
      <c r="B159" s="51" t="s">
        <v>247</v>
      </c>
      <c r="E159" s="172"/>
      <c r="F159" s="173"/>
      <c r="G159" s="108">
        <f t="shared" ref="G159" si="133">E159-F159</f>
        <v>0</v>
      </c>
      <c r="H159" s="210"/>
      <c r="I159" s="272"/>
      <c r="J159" s="132">
        <f t="shared" ref="J159:J160" si="134">I159-H159</f>
        <v>0</v>
      </c>
      <c r="K159" s="272"/>
      <c r="L159" s="272"/>
      <c r="M159" s="110">
        <f>K159+L159</f>
        <v>0</v>
      </c>
      <c r="N159" s="110"/>
      <c r="O159" s="110"/>
      <c r="P159" s="110">
        <f>M159+N159+O159</f>
        <v>0</v>
      </c>
      <c r="Q159" s="224">
        <f>-2341146.08+1277.02</f>
        <v>-2339869.06</v>
      </c>
      <c r="R159" s="265">
        <f>P159-Q159</f>
        <v>2339869.06</v>
      </c>
      <c r="S159" s="135">
        <f>SUM(Q159:R159)</f>
        <v>0</v>
      </c>
      <c r="T159" s="136" t="str">
        <f t="shared" ref="T159:T160" si="135">IF(ISERR(Q159/S159),"-",Q159/S159)</f>
        <v>-</v>
      </c>
      <c r="U159" s="191">
        <f>S159-I159</f>
        <v>0</v>
      </c>
      <c r="V159" s="280">
        <f>P159-S159</f>
        <v>0</v>
      </c>
      <c r="W159" s="201" t="str">
        <f t="shared" ref="W159:W160" si="136">IF(ISERR(V159/P159),"-",V159/P159)</f>
        <v>-</v>
      </c>
      <c r="X159" s="278"/>
      <c r="Y159" s="279"/>
      <c r="Z159" s="118">
        <f>'[1]2021-22'!C953</f>
        <v>25338.79</v>
      </c>
      <c r="AA159" s="200">
        <f>O159-Z159</f>
        <v>-25338.79</v>
      </c>
      <c r="AB159" s="201">
        <f>IF(ISERR(AA159/Z159),"-",AA159/Z159)</f>
        <v>-1</v>
      </c>
      <c r="AC159" s="279"/>
      <c r="AD159" s="118">
        <v>-2957.25</v>
      </c>
      <c r="AE159" s="200">
        <f>S159-AD159</f>
        <v>2957.25</v>
      </c>
      <c r="AF159" s="201">
        <f>IF(ISERR(AE159/AD159),"-",AE159/AD159)</f>
        <v>-1</v>
      </c>
      <c r="AH159" s="118">
        <v>-2312.87</v>
      </c>
      <c r="AI159" s="200">
        <f>S159-AH159</f>
        <v>2312.87</v>
      </c>
      <c r="AJ159" s="201">
        <f t="shared" ref="AJ159:AJ161" si="137">IF(ISERR(AI159/AH159),"-",AI159/AH159)</f>
        <v>-1</v>
      </c>
    </row>
    <row r="160" spans="1:36" ht="13.35" hidden="1" customHeight="1" outlineLevel="1" x14ac:dyDescent="0.3">
      <c r="A160" s="216" t="s">
        <v>248</v>
      </c>
      <c r="B160" s="51" t="s">
        <v>249</v>
      </c>
      <c r="E160" s="172"/>
      <c r="F160" s="173"/>
      <c r="G160" s="174"/>
      <c r="H160" s="156">
        <v>0</v>
      </c>
      <c r="I160" s="131"/>
      <c r="J160" s="132">
        <f t="shared" si="134"/>
        <v>0</v>
      </c>
      <c r="K160" s="122"/>
      <c r="L160" s="272"/>
      <c r="M160" s="122">
        <f>K160+L160</f>
        <v>0</v>
      </c>
      <c r="N160" s="122"/>
      <c r="O160" s="122"/>
      <c r="P160" s="122">
        <f>M160+N160+O160</f>
        <v>0</v>
      </c>
      <c r="Q160" s="224">
        <f>815.36+1462.5+283+18705+49325.02+1538580.49+87314.75</f>
        <v>1696486.12</v>
      </c>
      <c r="R160" s="265">
        <f>P160-Q160</f>
        <v>-1696486.12</v>
      </c>
      <c r="S160" s="135">
        <f t="shared" ref="S160" si="138">SUM(Q160:R160)</f>
        <v>0</v>
      </c>
      <c r="T160" s="281" t="str">
        <f t="shared" si="135"/>
        <v>-</v>
      </c>
      <c r="U160" s="191">
        <f>S160-I160</f>
        <v>0</v>
      </c>
      <c r="V160" s="280">
        <f t="shared" ref="V160" si="139">P160-S160</f>
        <v>0</v>
      </c>
      <c r="W160" s="201" t="str">
        <f t="shared" si="136"/>
        <v>-</v>
      </c>
      <c r="X160" s="278"/>
      <c r="Y160" s="279"/>
      <c r="Z160" s="156">
        <f>'[1]2021-22'!C940+'[1]2021-22'!C948+'[1]2021-22'!C958+'[1]2021-22'!C964+'[1]2021-22'!C969+'[1]2021-22'!C975</f>
        <v>3363.37</v>
      </c>
      <c r="AA160" s="200">
        <f>O160-Z160</f>
        <v>-3363.37</v>
      </c>
      <c r="AB160" s="201">
        <f>IF(ISERR(AA160/Z160),"-",AA160/Z160)</f>
        <v>-1</v>
      </c>
      <c r="AC160" s="279"/>
      <c r="AD160" s="156">
        <v>114387.62</v>
      </c>
      <c r="AE160" s="200">
        <f>S160-AD160</f>
        <v>-114387.62</v>
      </c>
      <c r="AF160" s="201">
        <f>IF(ISERR(AE160/AD160),"-",AE160/AD160)</f>
        <v>-1</v>
      </c>
      <c r="AH160" s="156">
        <v>129246.45999999999</v>
      </c>
      <c r="AI160" s="200">
        <f>S160-AH160</f>
        <v>-129246.45999999999</v>
      </c>
      <c r="AJ160" s="201">
        <f t="shared" si="137"/>
        <v>-1</v>
      </c>
    </row>
    <row r="161" spans="1:36" ht="13.35" customHeight="1" collapsed="1" x14ac:dyDescent="0.3">
      <c r="A161" s="239" t="s">
        <v>250</v>
      </c>
      <c r="B161" s="51"/>
      <c r="E161" s="203">
        <f>E159</f>
        <v>0</v>
      </c>
      <c r="F161" s="258">
        <f>F159</f>
        <v>0</v>
      </c>
      <c r="G161" s="258">
        <f>G159</f>
        <v>0</v>
      </c>
      <c r="H161" s="165">
        <f t="shared" ref="H161:S161" si="140">SUM(H159:H160)</f>
        <v>0</v>
      </c>
      <c r="I161" s="163">
        <f t="shared" si="140"/>
        <v>0</v>
      </c>
      <c r="J161" s="204">
        <f t="shared" si="140"/>
        <v>0</v>
      </c>
      <c r="K161" s="163">
        <f t="shared" si="140"/>
        <v>0</v>
      </c>
      <c r="L161" s="163">
        <f t="shared" si="140"/>
        <v>0</v>
      </c>
      <c r="M161" s="163">
        <f t="shared" si="140"/>
        <v>0</v>
      </c>
      <c r="N161" s="163">
        <f t="shared" si="140"/>
        <v>0</v>
      </c>
      <c r="O161" s="163">
        <f t="shared" si="140"/>
        <v>0</v>
      </c>
      <c r="P161" s="163">
        <f t="shared" si="140"/>
        <v>0</v>
      </c>
      <c r="Q161" s="165">
        <f t="shared" si="140"/>
        <v>-643382.93999999994</v>
      </c>
      <c r="R161" s="163">
        <f t="shared" si="140"/>
        <v>643382.93999999994</v>
      </c>
      <c r="S161" s="163">
        <f t="shared" si="140"/>
        <v>0</v>
      </c>
      <c r="T161" s="166" t="str">
        <f>IF(ISERR(Q161/S161),"-",Q161/S161)</f>
        <v>-</v>
      </c>
      <c r="U161" s="205">
        <f>SUM(U159:U160)</f>
        <v>0</v>
      </c>
      <c r="V161" s="167">
        <f>SUM(V159:V160)</f>
        <v>0</v>
      </c>
      <c r="W161" s="168" t="str">
        <f>IF(ISERR(V161/P161),"-",V161/P161)</f>
        <v>-</v>
      </c>
      <c r="X161" s="169"/>
      <c r="Y161" s="155"/>
      <c r="Z161" s="170">
        <f>SUM(Z159:Z160)</f>
        <v>28702.16</v>
      </c>
      <c r="AA161" s="206">
        <f>SUM(AA159:AA160)</f>
        <v>-28702.16</v>
      </c>
      <c r="AB161" s="168">
        <f>IF(ISERR(AA161/Z161),"-",AA161/Z161)</f>
        <v>-1</v>
      </c>
      <c r="AC161" s="155"/>
      <c r="AD161" s="170">
        <f>SUM(AD159:AD160)</f>
        <v>111430.37</v>
      </c>
      <c r="AE161" s="206">
        <f>SUM(AE159:AE160)</f>
        <v>-111430.37</v>
      </c>
      <c r="AF161" s="168">
        <f>IF(ISERR(AE161/AD161),"-",AE161/AD161)</f>
        <v>-1</v>
      </c>
      <c r="AH161" s="170">
        <v>126933.59</v>
      </c>
      <c r="AI161" s="206">
        <f>SUM(AI159:AI160)</f>
        <v>-126933.59</v>
      </c>
      <c r="AJ161" s="168">
        <f t="shared" si="137"/>
        <v>-1</v>
      </c>
    </row>
    <row r="162" spans="1:36" ht="13.35" customHeight="1" x14ac:dyDescent="0.3">
      <c r="A162" s="239"/>
      <c r="B162" s="51"/>
      <c r="E162" s="282"/>
      <c r="F162" s="283"/>
      <c r="G162" s="283"/>
      <c r="H162" s="176"/>
      <c r="I162" s="175"/>
      <c r="J162" s="121"/>
      <c r="K162" s="175"/>
      <c r="L162" s="175"/>
      <c r="M162" s="175"/>
      <c r="N162" s="175"/>
      <c r="O162" s="175"/>
      <c r="P162" s="175"/>
      <c r="Q162" s="176"/>
      <c r="R162" s="175"/>
      <c r="S162" s="175"/>
      <c r="T162" s="136"/>
      <c r="U162" s="284"/>
      <c r="V162" s="178"/>
      <c r="W162" s="201"/>
      <c r="X162" s="154"/>
      <c r="Y162" s="155"/>
      <c r="Z162" s="285"/>
      <c r="AA162" s="223"/>
      <c r="AB162" s="201"/>
      <c r="AC162" s="155"/>
      <c r="AD162" s="285"/>
      <c r="AE162" s="223"/>
      <c r="AF162" s="201"/>
      <c r="AH162" s="285"/>
      <c r="AI162" s="223"/>
      <c r="AJ162" s="201"/>
    </row>
    <row r="163" spans="1:36" ht="13.35" customHeight="1" x14ac:dyDescent="0.3">
      <c r="A163" s="51" t="s">
        <v>251</v>
      </c>
      <c r="B163" s="51"/>
      <c r="E163" s="172"/>
      <c r="F163" s="173"/>
      <c r="G163" s="174"/>
      <c r="H163" s="172">
        <v>500000</v>
      </c>
      <c r="I163" s="173"/>
      <c r="J163" s="132">
        <f t="shared" ref="J163" si="141">I163-H163</f>
        <v>-500000</v>
      </c>
      <c r="K163" s="272"/>
      <c r="L163" s="272"/>
      <c r="M163" s="272"/>
      <c r="N163" s="272"/>
      <c r="O163" s="122"/>
      <c r="P163" s="286">
        <f>M163+N163+O163</f>
        <v>0</v>
      </c>
      <c r="Q163" s="135">
        <v>0</v>
      </c>
      <c r="R163" s="135">
        <v>0</v>
      </c>
      <c r="S163" s="135">
        <f>Q163+R163</f>
        <v>0</v>
      </c>
      <c r="T163" s="287"/>
      <c r="U163" s="288"/>
      <c r="V163" s="135">
        <f>P163-S163</f>
        <v>0</v>
      </c>
      <c r="W163" s="277"/>
      <c r="X163" s="278"/>
      <c r="Y163" s="279"/>
      <c r="Z163" s="96"/>
      <c r="AA163" s="101"/>
      <c r="AB163" s="102"/>
      <c r="AC163" s="279"/>
      <c r="AD163" s="96"/>
      <c r="AE163" s="101"/>
      <c r="AF163" s="102"/>
      <c r="AH163" s="96"/>
      <c r="AI163" s="101"/>
      <c r="AJ163" s="102"/>
    </row>
    <row r="164" spans="1:36" ht="13.35" customHeight="1" x14ac:dyDescent="0.3">
      <c r="A164" s="51"/>
      <c r="B164" s="51"/>
      <c r="E164" s="172"/>
      <c r="F164" s="173"/>
      <c r="G164" s="174"/>
      <c r="H164" s="172"/>
      <c r="I164" s="289"/>
      <c r="J164" s="289"/>
      <c r="K164" s="289"/>
      <c r="L164" s="289"/>
      <c r="M164" s="289"/>
      <c r="N164" s="289"/>
      <c r="O164" s="289"/>
      <c r="P164" s="289"/>
      <c r="Q164" s="290"/>
      <c r="R164" s="289"/>
      <c r="S164" s="289"/>
      <c r="T164" s="289"/>
      <c r="U164" s="242"/>
      <c r="V164" s="187"/>
      <c r="W164" s="277"/>
      <c r="X164" s="278"/>
      <c r="Y164" s="279"/>
      <c r="Z164" s="96"/>
      <c r="AA164" s="101"/>
      <c r="AB164" s="102"/>
      <c r="AC164" s="279"/>
      <c r="AD164" s="96"/>
      <c r="AE164" s="101"/>
      <c r="AF164" s="102"/>
      <c r="AH164" s="96"/>
      <c r="AI164" s="101"/>
      <c r="AJ164" s="102"/>
    </row>
    <row r="165" spans="1:36" ht="13.35" customHeight="1" thickBot="1" x14ac:dyDescent="0.35">
      <c r="A165" s="239" t="s">
        <v>252</v>
      </c>
      <c r="B165" s="10"/>
      <c r="E165" s="291">
        <f>E22+E36+E55+E68+E75+E104+E116+E134+E155+E161</f>
        <v>0</v>
      </c>
      <c r="F165" s="292">
        <f>F22+F36+F55+F68+F75+F104+F116+F134+F155+F161</f>
        <v>3065.6499999999996</v>
      </c>
      <c r="G165" s="293">
        <f>G22+G36+G55+G68+G75+G104+G116+G134+G155+G161</f>
        <v>-3224.73</v>
      </c>
      <c r="H165" s="294">
        <f>H22+H36+H55+H68+H75+H104+H116+H134+H155+H161+H163</f>
        <v>310376500</v>
      </c>
      <c r="I165" s="294">
        <f>I22+I36+I55+I68+I75+I104+I116+I134+I155+I161+I163</f>
        <v>310376500</v>
      </c>
      <c r="J165" s="295">
        <f>J22+J36+J55+J68+J75+J104+J116+J134+J155+J161+J163</f>
        <v>0</v>
      </c>
      <c r="K165" s="294">
        <f>K22+K36+K55+K68+K75+K104+K116+K134+K155+K161</f>
        <v>309876500</v>
      </c>
      <c r="L165" s="294">
        <f>L22+L36+L55+L68+L75+L104+L116+L134+L155+L161</f>
        <v>8254196.669999999</v>
      </c>
      <c r="M165" s="294">
        <f t="shared" ref="M165:S165" si="142">M22+M36+M55+M68+M75+M104+M116+M134+M155+M161+M163</f>
        <v>318130696.67000008</v>
      </c>
      <c r="N165" s="294">
        <f t="shared" si="142"/>
        <v>0</v>
      </c>
      <c r="O165" s="296">
        <f t="shared" si="142"/>
        <v>10240</v>
      </c>
      <c r="P165" s="294">
        <f t="shared" si="142"/>
        <v>318140936.67000008</v>
      </c>
      <c r="Q165" s="297">
        <f t="shared" si="142"/>
        <v>292065622.53000003</v>
      </c>
      <c r="R165" s="294">
        <f t="shared" si="142"/>
        <v>29233159.70756707</v>
      </c>
      <c r="S165" s="294">
        <f t="shared" si="142"/>
        <v>321298782.23756713</v>
      </c>
      <c r="T165" s="298">
        <f>IF(ISERR(Q165/S165),"-",Q165/S165)</f>
        <v>0.90901565357956382</v>
      </c>
      <c r="U165" s="299">
        <f>U22+U36+U55+U68+U75+U104+U116+U134+U155+U161</f>
        <v>10722282.237567063</v>
      </c>
      <c r="V165" s="167">
        <f>V22+V36+V55+V68+V75+V104+V116+V134+V155+V161+V163+1</f>
        <v>-3157844.5675670635</v>
      </c>
      <c r="W165" s="168">
        <f>IF(ISERR(V165/P165),"-",V165/P165)</f>
        <v>-9.925929685819148E-3</v>
      </c>
      <c r="X165" s="169"/>
      <c r="Y165" s="155"/>
      <c r="Z165" s="170">
        <f>Z22+Z36+Z55+Z68+Z75+Z104+Z116+Z134+Z155+Z161+Z163</f>
        <v>259068311.38</v>
      </c>
      <c r="AA165" s="206">
        <f>AA22+AA36+AA55+AA68+AA75+AA104+AA116+AA134+AA155+AA161</f>
        <v>-255379221.04999998</v>
      </c>
      <c r="AB165" s="168">
        <f>IF(ISERR(AA165/Z165),"-",AA165/Z165)</f>
        <v>-0.98576016375623465</v>
      </c>
      <c r="AC165" s="155"/>
      <c r="AD165" s="170">
        <f>AD22+AD36+AD55+AD68+AD75+AD104+AD116+AD134+AD155+AD161+AD163</f>
        <v>239341763.84</v>
      </c>
      <c r="AE165" s="206">
        <f>AE22+AE36+AE55+AE68+AE75+AE104+AE116+AE134+AE155+AE161</f>
        <v>78512967.127567038</v>
      </c>
      <c r="AF165" s="168">
        <f>IF(ISERR(AE165/AD165),"-",AE165/AD165)</f>
        <v>0.32803705407658384</v>
      </c>
      <c r="AH165" s="170">
        <v>232479825.28</v>
      </c>
      <c r="AI165" s="206">
        <f>AI22+AI36+AI55+AI68+AI75+AI104+AI116+AI134+AI155+AI161</f>
        <v>85352475.107567072</v>
      </c>
      <c r="AJ165" s="168">
        <f>IF(ISERR(AI165/AH165),"-",AI165/AH165)</f>
        <v>0.36713927759007936</v>
      </c>
    </row>
    <row r="166" spans="1:36" ht="13.35" customHeight="1" thickTop="1" x14ac:dyDescent="0.3">
      <c r="A166" s="6"/>
      <c r="B166" s="300"/>
      <c r="C166" s="6"/>
      <c r="D166" s="6"/>
      <c r="E166" s="301"/>
      <c r="F166" s="173"/>
      <c r="G166" s="301"/>
      <c r="H166" s="301"/>
      <c r="I166" s="261"/>
      <c r="J166" s="261"/>
      <c r="K166" s="261"/>
      <c r="L166" s="261"/>
      <c r="V166" s="256"/>
      <c r="W166" s="302"/>
      <c r="X166" s="302"/>
      <c r="Y166" s="303"/>
      <c r="AC166" s="303"/>
    </row>
    <row r="167" spans="1:36" x14ac:dyDescent="0.3">
      <c r="F167" s="173"/>
    </row>
    <row r="168" spans="1:36" x14ac:dyDescent="0.3">
      <c r="F168" s="173"/>
    </row>
  </sheetData>
  <mergeCells count="12">
    <mergeCell ref="V6:W6"/>
    <mergeCell ref="E1:P1"/>
    <mergeCell ref="Q1:X1"/>
    <mergeCell ref="E2:P2"/>
    <mergeCell ref="Q2:X2"/>
    <mergeCell ref="E3:P3"/>
    <mergeCell ref="Q3:X3"/>
    <mergeCell ref="J4:N4"/>
    <mergeCell ref="I5:O5"/>
    <mergeCell ref="E6:G6"/>
    <mergeCell ref="H6:P6"/>
    <mergeCell ref="Q6:T6"/>
  </mergeCells>
  <pageMargins left="0.7" right="0.7" top="0.75" bottom="0.75" header="0.3" footer="0.3"/>
  <pageSetup paperSize="5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Anglophone School Districts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Tracey, Shawn (ASD-W)</dc:creator>
  <cp:lastModifiedBy>Hatheway, Kendra (ASD-W)</cp:lastModifiedBy>
  <cp:lastPrinted>2025-03-21T18:52:02Z</cp:lastPrinted>
  <dcterms:created xsi:type="dcterms:W3CDTF">2025-03-20T13:04:34Z</dcterms:created>
  <dcterms:modified xsi:type="dcterms:W3CDTF">2025-04-22T11:49:16Z</dcterms:modified>
</cp:coreProperties>
</file>