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hawn\Yr 2022-2023\Budget\2nd Quarter\"/>
    </mc:Choice>
  </mc:AlternateContent>
  <xr:revisionPtr revIDLastSave="0" documentId="13_ncr:1_{260B2467-DB16-4C64-9F4E-27A8EAE128C6}" xr6:coauthVersionLast="47" xr6:coauthVersionMax="47" xr10:uidLastSave="{00000000-0000-0000-0000-000000000000}"/>
  <bookViews>
    <workbookView xWindow="-120" yWindow="-120" windowWidth="29040" windowHeight="15840" xr2:uid="{E795AA03-2348-4C9C-A444-397066B9F34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0" i="1" l="1"/>
  <c r="V180" i="1" s="1"/>
  <c r="S179" i="1"/>
  <c r="P179" i="1"/>
  <c r="V179" i="1" s="1"/>
  <c r="J179" i="1"/>
  <c r="AD177" i="1"/>
  <c r="Q177" i="1"/>
  <c r="O177" i="1"/>
  <c r="N177" i="1"/>
  <c r="L177" i="1"/>
  <c r="K177" i="1"/>
  <c r="I177" i="1"/>
  <c r="H177" i="1"/>
  <c r="F177" i="1"/>
  <c r="E177" i="1"/>
  <c r="Z176" i="1"/>
  <c r="AA176" i="1" s="1"/>
  <c r="AB176" i="1" s="1"/>
  <c r="Q176" i="1"/>
  <c r="P176" i="1"/>
  <c r="R176" i="1" s="1"/>
  <c r="S176" i="1" s="1"/>
  <c r="M176" i="1"/>
  <c r="J176" i="1"/>
  <c r="Z175" i="1"/>
  <c r="V175" i="1"/>
  <c r="W175" i="1" s="1"/>
  <c r="S175" i="1"/>
  <c r="T175" i="1" s="1"/>
  <c r="P175" i="1"/>
  <c r="M175" i="1"/>
  <c r="J175" i="1"/>
  <c r="AA174" i="1"/>
  <c r="AB174" i="1" s="1"/>
  <c r="Z174" i="1"/>
  <c r="Z177" i="1" s="1"/>
  <c r="P174" i="1"/>
  <c r="P177" i="1" s="1"/>
  <c r="M174" i="1"/>
  <c r="M177" i="1" s="1"/>
  <c r="J174" i="1"/>
  <c r="J177" i="1" s="1"/>
  <c r="G174" i="1"/>
  <c r="G177" i="1" s="1"/>
  <c r="AH170" i="1"/>
  <c r="AD170" i="1"/>
  <c r="I170" i="1"/>
  <c r="G170" i="1"/>
  <c r="F170" i="1"/>
  <c r="E170" i="1"/>
  <c r="AA169" i="1"/>
  <c r="AB169" i="1" s="1"/>
  <c r="Z169" i="1"/>
  <c r="P169" i="1"/>
  <c r="M169" i="1"/>
  <c r="J169" i="1"/>
  <c r="T168" i="1"/>
  <c r="S168" i="1"/>
  <c r="U168" i="1" s="1"/>
  <c r="P168" i="1"/>
  <c r="V168" i="1" s="1"/>
  <c r="W168" i="1" s="1"/>
  <c r="M168" i="1"/>
  <c r="J168" i="1"/>
  <c r="AA167" i="1"/>
  <c r="AB167" i="1" s="1"/>
  <c r="Z167" i="1"/>
  <c r="Q167" i="1"/>
  <c r="O167" i="1"/>
  <c r="N167" i="1"/>
  <c r="K167" i="1"/>
  <c r="M167" i="1" s="1"/>
  <c r="P167" i="1" s="1"/>
  <c r="J167" i="1"/>
  <c r="H167" i="1"/>
  <c r="Z166" i="1"/>
  <c r="AA166" i="1" s="1"/>
  <c r="AB166" i="1" s="1"/>
  <c r="M166" i="1"/>
  <c r="P166" i="1" s="1"/>
  <c r="R166" i="1" s="1"/>
  <c r="S166" i="1" s="1"/>
  <c r="J166" i="1"/>
  <c r="Z165" i="1"/>
  <c r="AA165" i="1" s="1"/>
  <c r="AB165" i="1" s="1"/>
  <c r="M165" i="1"/>
  <c r="P165" i="1" s="1"/>
  <c r="R165" i="1" s="1"/>
  <c r="S165" i="1" s="1"/>
  <c r="J165" i="1"/>
  <c r="Z164" i="1"/>
  <c r="AA164" i="1" s="1"/>
  <c r="AB164" i="1" s="1"/>
  <c r="V164" i="1"/>
  <c r="W164" i="1" s="1"/>
  <c r="M164" i="1"/>
  <c r="P164" i="1" s="1"/>
  <c r="R164" i="1" s="1"/>
  <c r="S164" i="1" s="1"/>
  <c r="J164" i="1"/>
  <c r="T163" i="1"/>
  <c r="S163" i="1"/>
  <c r="U163" i="1" s="1"/>
  <c r="M163" i="1"/>
  <c r="P163" i="1" s="1"/>
  <c r="V163" i="1" s="1"/>
  <c r="W163" i="1" s="1"/>
  <c r="J163" i="1"/>
  <c r="AJ162" i="1"/>
  <c r="Z162" i="1"/>
  <c r="AA162" i="1" s="1"/>
  <c r="AB162" i="1" s="1"/>
  <c r="S162" i="1"/>
  <c r="AI162" i="1" s="1"/>
  <c r="R162" i="1"/>
  <c r="N162" i="1"/>
  <c r="L162" i="1"/>
  <c r="K162" i="1"/>
  <c r="M162" i="1" s="1"/>
  <c r="P162" i="1" s="1"/>
  <c r="V162" i="1" s="1"/>
  <c r="W162" i="1" s="1"/>
  <c r="H162" i="1"/>
  <c r="J162" i="1" s="1"/>
  <c r="AB161" i="1"/>
  <c r="AA161" i="1"/>
  <c r="Z161" i="1"/>
  <c r="R161" i="1"/>
  <c r="S161" i="1" s="1"/>
  <c r="N161" i="1"/>
  <c r="M161" i="1"/>
  <c r="P161" i="1" s="1"/>
  <c r="K161" i="1"/>
  <c r="J161" i="1"/>
  <c r="U160" i="1"/>
  <c r="T160" i="1"/>
  <c r="S160" i="1"/>
  <c r="P160" i="1"/>
  <c r="V160" i="1" s="1"/>
  <c r="W160" i="1" s="1"/>
  <c r="M160" i="1"/>
  <c r="J160" i="1"/>
  <c r="AF159" i="1"/>
  <c r="AA159" i="1"/>
  <c r="AB159" i="1" s="1"/>
  <c r="Z159" i="1"/>
  <c r="T159" i="1"/>
  <c r="S159" i="1"/>
  <c r="AE159" i="1" s="1"/>
  <c r="R159" i="1"/>
  <c r="N159" i="1"/>
  <c r="L159" i="1"/>
  <c r="M159" i="1" s="1"/>
  <c r="P159" i="1" s="1"/>
  <c r="V159" i="1" s="1"/>
  <c r="W159" i="1" s="1"/>
  <c r="K159" i="1"/>
  <c r="J159" i="1"/>
  <c r="H159" i="1"/>
  <c r="Z158" i="1"/>
  <c r="R158" i="1"/>
  <c r="S158" i="1" s="1"/>
  <c r="O158" i="1"/>
  <c r="AA158" i="1" s="1"/>
  <c r="AB158" i="1" s="1"/>
  <c r="M158" i="1"/>
  <c r="H158" i="1"/>
  <c r="J158" i="1" s="1"/>
  <c r="AJ157" i="1"/>
  <c r="AI157" i="1"/>
  <c r="AB157" i="1"/>
  <c r="AA157" i="1"/>
  <c r="Z157" i="1"/>
  <c r="U157" i="1"/>
  <c r="T157" i="1"/>
  <c r="S157" i="1"/>
  <c r="AE157" i="1" s="1"/>
  <c r="AF157" i="1" s="1"/>
  <c r="P157" i="1"/>
  <c r="V157" i="1" s="1"/>
  <c r="W157" i="1" s="1"/>
  <c r="M157" i="1"/>
  <c r="J157" i="1"/>
  <c r="AA156" i="1"/>
  <c r="AB156" i="1" s="1"/>
  <c r="Z156" i="1"/>
  <c r="S156" i="1"/>
  <c r="AI156" i="1" s="1"/>
  <c r="AJ156" i="1" s="1"/>
  <c r="M156" i="1"/>
  <c r="P156" i="1" s="1"/>
  <c r="V156" i="1" s="1"/>
  <c r="W156" i="1" s="1"/>
  <c r="J156" i="1"/>
  <c r="Z155" i="1"/>
  <c r="AA155" i="1" s="1"/>
  <c r="AB155" i="1" s="1"/>
  <c r="R155" i="1"/>
  <c r="S155" i="1" s="1"/>
  <c r="M155" i="1"/>
  <c r="P155" i="1" s="1"/>
  <c r="J155" i="1"/>
  <c r="AI154" i="1"/>
  <c r="AJ154" i="1" s="1"/>
  <c r="Z154" i="1"/>
  <c r="AA154" i="1" s="1"/>
  <c r="AB154" i="1" s="1"/>
  <c r="U154" i="1"/>
  <c r="T154" i="1"/>
  <c r="S154" i="1"/>
  <c r="AE154" i="1" s="1"/>
  <c r="AF154" i="1" s="1"/>
  <c r="P154" i="1"/>
  <c r="V154" i="1" s="1"/>
  <c r="W154" i="1" s="1"/>
  <c r="M154" i="1"/>
  <c r="J154" i="1"/>
  <c r="U153" i="1"/>
  <c r="T153" i="1"/>
  <c r="S153" i="1"/>
  <c r="P153" i="1"/>
  <c r="V153" i="1" s="1"/>
  <c r="W153" i="1" s="1"/>
  <c r="M153" i="1"/>
  <c r="J153" i="1"/>
  <c r="AA152" i="1"/>
  <c r="AB152" i="1" s="1"/>
  <c r="Z152" i="1"/>
  <c r="T152" i="1"/>
  <c r="S152" i="1"/>
  <c r="AI152" i="1" s="1"/>
  <c r="AJ152" i="1" s="1"/>
  <c r="R152" i="1"/>
  <c r="N152" i="1"/>
  <c r="N170" i="1" s="1"/>
  <c r="M152" i="1"/>
  <c r="P152" i="1" s="1"/>
  <c r="V152" i="1" s="1"/>
  <c r="W152" i="1" s="1"/>
  <c r="L152" i="1"/>
  <c r="L170" i="1" s="1"/>
  <c r="K152" i="1"/>
  <c r="K170" i="1" s="1"/>
  <c r="J152" i="1"/>
  <c r="H152" i="1"/>
  <c r="H170" i="1" s="1"/>
  <c r="Z151" i="1"/>
  <c r="U151" i="1"/>
  <c r="T151" i="1"/>
  <c r="S151" i="1"/>
  <c r="P151" i="1"/>
  <c r="V151" i="1" s="1"/>
  <c r="M151" i="1"/>
  <c r="J151" i="1"/>
  <c r="U150" i="1"/>
  <c r="T150" i="1"/>
  <c r="S150" i="1"/>
  <c r="P150" i="1"/>
  <c r="V150" i="1" s="1"/>
  <c r="W150" i="1" s="1"/>
  <c r="M150" i="1"/>
  <c r="J150" i="1"/>
  <c r="AA149" i="1"/>
  <c r="AB149" i="1" s="1"/>
  <c r="Z149" i="1"/>
  <c r="Z170" i="1" s="1"/>
  <c r="P149" i="1"/>
  <c r="R149" i="1" s="1"/>
  <c r="M149" i="1"/>
  <c r="J149" i="1"/>
  <c r="J170" i="1" s="1"/>
  <c r="E145" i="1"/>
  <c r="AD143" i="1"/>
  <c r="Z143" i="1"/>
  <c r="H143" i="1"/>
  <c r="E143" i="1"/>
  <c r="N142" i="1"/>
  <c r="M142" i="1"/>
  <c r="P142" i="1" s="1"/>
  <c r="K142" i="1"/>
  <c r="J142" i="1"/>
  <c r="T141" i="1"/>
  <c r="S141" i="1"/>
  <c r="M141" i="1"/>
  <c r="P141" i="1" s="1"/>
  <c r="V141" i="1" s="1"/>
  <c r="W141" i="1" s="1"/>
  <c r="J141" i="1"/>
  <c r="Z140" i="1"/>
  <c r="S140" i="1"/>
  <c r="R140" i="1"/>
  <c r="O140" i="1"/>
  <c r="O143" i="1" s="1"/>
  <c r="N140" i="1"/>
  <c r="L140" i="1"/>
  <c r="M140" i="1" s="1"/>
  <c r="P140" i="1" s="1"/>
  <c r="V140" i="1" s="1"/>
  <c r="W140" i="1" s="1"/>
  <c r="K140" i="1"/>
  <c r="J140" i="1"/>
  <c r="I140" i="1"/>
  <c r="I143" i="1" s="1"/>
  <c r="H140" i="1"/>
  <c r="AA139" i="1"/>
  <c r="AB139" i="1" s="1"/>
  <c r="Z139" i="1"/>
  <c r="R139" i="1"/>
  <c r="Q139" i="1"/>
  <c r="P139" i="1"/>
  <c r="M139" i="1"/>
  <c r="J139" i="1"/>
  <c r="Z137" i="1"/>
  <c r="AA137" i="1" s="1"/>
  <c r="S137" i="1"/>
  <c r="R137" i="1"/>
  <c r="Q137" i="1"/>
  <c r="Q143" i="1" s="1"/>
  <c r="N137" i="1"/>
  <c r="N143" i="1" s="1"/>
  <c r="L137" i="1"/>
  <c r="L143" i="1" s="1"/>
  <c r="K137" i="1"/>
  <c r="K143" i="1" s="1"/>
  <c r="J137" i="1"/>
  <c r="J143" i="1" s="1"/>
  <c r="H137" i="1"/>
  <c r="F137" i="1"/>
  <c r="G137" i="1" s="1"/>
  <c r="G143" i="1" s="1"/>
  <c r="G145" i="1" s="1"/>
  <c r="AD134" i="1"/>
  <c r="AD145" i="1" s="1"/>
  <c r="Z134" i="1"/>
  <c r="Z145" i="1" s="1"/>
  <c r="Q134" i="1"/>
  <c r="L134" i="1"/>
  <c r="L145" i="1" s="1"/>
  <c r="I134" i="1"/>
  <c r="H134" i="1"/>
  <c r="G134" i="1"/>
  <c r="F134" i="1"/>
  <c r="E134" i="1"/>
  <c r="Z133" i="1"/>
  <c r="O133" i="1"/>
  <c r="O134" i="1" s="1"/>
  <c r="M133" i="1"/>
  <c r="P133" i="1" s="1"/>
  <c r="J133" i="1"/>
  <c r="Z132" i="1"/>
  <c r="AA132" i="1" s="1"/>
  <c r="N132" i="1"/>
  <c r="N134" i="1" s="1"/>
  <c r="N145" i="1" s="1"/>
  <c r="K132" i="1"/>
  <c r="M132" i="1" s="1"/>
  <c r="J132" i="1"/>
  <c r="J134" i="1" s="1"/>
  <c r="J145" i="1" s="1"/>
  <c r="AD126" i="1"/>
  <c r="Q126" i="1"/>
  <c r="L126" i="1"/>
  <c r="I126" i="1"/>
  <c r="F126" i="1"/>
  <c r="E126" i="1"/>
  <c r="AE125" i="1"/>
  <c r="AF125" i="1" s="1"/>
  <c r="Z125" i="1"/>
  <c r="S125" i="1"/>
  <c r="R125" i="1"/>
  <c r="O125" i="1"/>
  <c r="N125" i="1"/>
  <c r="M125" i="1"/>
  <c r="J125" i="1"/>
  <c r="AI124" i="1"/>
  <c r="AJ124" i="1" s="1"/>
  <c r="AB124" i="1"/>
  <c r="Z124" i="1"/>
  <c r="R124" i="1"/>
  <c r="S124" i="1" s="1"/>
  <c r="O124" i="1"/>
  <c r="AA124" i="1" s="1"/>
  <c r="N124" i="1"/>
  <c r="K124" i="1"/>
  <c r="J124" i="1"/>
  <c r="AI123" i="1"/>
  <c r="AJ123" i="1" s="1"/>
  <c r="Z123" i="1"/>
  <c r="AA123" i="1" s="1"/>
  <c r="AB123" i="1" s="1"/>
  <c r="R123" i="1"/>
  <c r="S123" i="1" s="1"/>
  <c r="N123" i="1"/>
  <c r="N126" i="1" s="1"/>
  <c r="M123" i="1"/>
  <c r="P123" i="1" s="1"/>
  <c r="K123" i="1"/>
  <c r="J123" i="1"/>
  <c r="U122" i="1"/>
  <c r="S122" i="1"/>
  <c r="T122" i="1" s="1"/>
  <c r="P122" i="1"/>
  <c r="M122" i="1"/>
  <c r="J122" i="1"/>
  <c r="AB121" i="1"/>
  <c r="AA121" i="1"/>
  <c r="Z121" i="1"/>
  <c r="R121" i="1"/>
  <c r="S121" i="1" s="1"/>
  <c r="N121" i="1"/>
  <c r="M121" i="1"/>
  <c r="P121" i="1" s="1"/>
  <c r="K121" i="1"/>
  <c r="J121" i="1"/>
  <c r="AA120" i="1"/>
  <c r="AB120" i="1" s="1"/>
  <c r="U120" i="1"/>
  <c r="S120" i="1"/>
  <c r="P120" i="1"/>
  <c r="V120" i="1" s="1"/>
  <c r="W120" i="1" s="1"/>
  <c r="M120" i="1"/>
  <c r="J120" i="1"/>
  <c r="AB119" i="1"/>
  <c r="AA119" i="1"/>
  <c r="Z119" i="1"/>
  <c r="R119" i="1"/>
  <c r="S119" i="1" s="1"/>
  <c r="P119" i="1"/>
  <c r="V119" i="1" s="1"/>
  <c r="W119" i="1" s="1"/>
  <c r="M119" i="1"/>
  <c r="J119" i="1"/>
  <c r="F118" i="1"/>
  <c r="G118" i="1" s="1"/>
  <c r="G126" i="1" s="1"/>
  <c r="AA117" i="1"/>
  <c r="AB117" i="1" s="1"/>
  <c r="Z117" i="1"/>
  <c r="V117" i="1"/>
  <c r="W117" i="1" s="1"/>
  <c r="T117" i="1"/>
  <c r="S117" i="1"/>
  <c r="AE117" i="1" s="1"/>
  <c r="AF117" i="1" s="1"/>
  <c r="R117" i="1"/>
  <c r="P117" i="1"/>
  <c r="O117" i="1"/>
  <c r="N117" i="1"/>
  <c r="M117" i="1"/>
  <c r="K117" i="1"/>
  <c r="J117" i="1"/>
  <c r="H117" i="1"/>
  <c r="H126" i="1" s="1"/>
  <c r="G117" i="1"/>
  <c r="AD113" i="1"/>
  <c r="L113" i="1"/>
  <c r="E113" i="1"/>
  <c r="AA112" i="1"/>
  <c r="AB112" i="1" s="1"/>
  <c r="Z112" i="1"/>
  <c r="Q112" i="1"/>
  <c r="Q113" i="1" s="1"/>
  <c r="P112" i="1"/>
  <c r="M112" i="1"/>
  <c r="J112" i="1"/>
  <c r="T111" i="1"/>
  <c r="S111" i="1"/>
  <c r="P111" i="1"/>
  <c r="V111" i="1" s="1"/>
  <c r="W111" i="1" s="1"/>
  <c r="M111" i="1"/>
  <c r="J111" i="1"/>
  <c r="AB110" i="1"/>
  <c r="AA110" i="1"/>
  <c r="Z110" i="1"/>
  <c r="R110" i="1"/>
  <c r="S110" i="1" s="1"/>
  <c r="P110" i="1"/>
  <c r="V110" i="1" s="1"/>
  <c r="W110" i="1" s="1"/>
  <c r="M110" i="1"/>
  <c r="J110" i="1"/>
  <c r="S109" i="1"/>
  <c r="T109" i="1" s="1"/>
  <c r="P109" i="1"/>
  <c r="V109" i="1" s="1"/>
  <c r="W109" i="1" s="1"/>
  <c r="M109" i="1"/>
  <c r="J109" i="1"/>
  <c r="Z108" i="1"/>
  <c r="AA108" i="1" s="1"/>
  <c r="AB108" i="1" s="1"/>
  <c r="R108" i="1"/>
  <c r="S108" i="1" s="1"/>
  <c r="M108" i="1"/>
  <c r="P108" i="1" s="1"/>
  <c r="V108" i="1" s="1"/>
  <c r="W108" i="1" s="1"/>
  <c r="J108" i="1"/>
  <c r="S107" i="1"/>
  <c r="T107" i="1" s="1"/>
  <c r="M107" i="1"/>
  <c r="P107" i="1" s="1"/>
  <c r="V107" i="1" s="1"/>
  <c r="W107" i="1" s="1"/>
  <c r="S106" i="1"/>
  <c r="N106" i="1"/>
  <c r="M106" i="1"/>
  <c r="P106" i="1" s="1"/>
  <c r="K106" i="1"/>
  <c r="J106" i="1"/>
  <c r="S105" i="1"/>
  <c r="O105" i="1"/>
  <c r="O113" i="1" s="1"/>
  <c r="N105" i="1"/>
  <c r="K105" i="1"/>
  <c r="M105" i="1" s="1"/>
  <c r="P105" i="1" s="1"/>
  <c r="J105" i="1"/>
  <c r="AE104" i="1"/>
  <c r="AF104" i="1" s="1"/>
  <c r="Z104" i="1"/>
  <c r="AA104" i="1" s="1"/>
  <c r="AB104" i="1" s="1"/>
  <c r="T104" i="1"/>
  <c r="S104" i="1"/>
  <c r="R104" i="1"/>
  <c r="N104" i="1"/>
  <c r="K104" i="1"/>
  <c r="M104" i="1" s="1"/>
  <c r="P104" i="1" s="1"/>
  <c r="H104" i="1"/>
  <c r="J104" i="1" s="1"/>
  <c r="AJ103" i="1"/>
  <c r="Z103" i="1"/>
  <c r="AA103" i="1" s="1"/>
  <c r="AB103" i="1" s="1"/>
  <c r="S103" i="1"/>
  <c r="AI103" i="1" s="1"/>
  <c r="R103" i="1"/>
  <c r="N103" i="1"/>
  <c r="K103" i="1"/>
  <c r="M103" i="1" s="1"/>
  <c r="P103" i="1" s="1"/>
  <c r="V103" i="1" s="1"/>
  <c r="W103" i="1" s="1"/>
  <c r="J103" i="1"/>
  <c r="H103" i="1"/>
  <c r="AB102" i="1"/>
  <c r="AA102" i="1"/>
  <c r="Z102" i="1"/>
  <c r="R102" i="1"/>
  <c r="S102" i="1" s="1"/>
  <c r="N102" i="1"/>
  <c r="K102" i="1"/>
  <c r="M102" i="1" s="1"/>
  <c r="P102" i="1" s="1"/>
  <c r="V102" i="1" s="1"/>
  <c r="W102" i="1" s="1"/>
  <c r="J102" i="1"/>
  <c r="AB101" i="1"/>
  <c r="AA101" i="1"/>
  <c r="R101" i="1"/>
  <c r="S101" i="1" s="1"/>
  <c r="N101" i="1"/>
  <c r="M101" i="1"/>
  <c r="P101" i="1" s="1"/>
  <c r="K101" i="1"/>
  <c r="I101" i="1"/>
  <c r="H101" i="1"/>
  <c r="Z100" i="1"/>
  <c r="AA100" i="1" s="1"/>
  <c r="AB100" i="1" s="1"/>
  <c r="V100" i="1"/>
  <c r="W100" i="1" s="1"/>
  <c r="S100" i="1"/>
  <c r="AI100" i="1" s="1"/>
  <c r="AJ100" i="1" s="1"/>
  <c r="R100" i="1"/>
  <c r="N100" i="1"/>
  <c r="M100" i="1"/>
  <c r="P100" i="1" s="1"/>
  <c r="K100" i="1"/>
  <c r="J100" i="1"/>
  <c r="AI99" i="1"/>
  <c r="AJ99" i="1" s="1"/>
  <c r="AA99" i="1"/>
  <c r="AB99" i="1" s="1"/>
  <c r="Z99" i="1"/>
  <c r="U99" i="1"/>
  <c r="S99" i="1"/>
  <c r="T99" i="1" s="1"/>
  <c r="M99" i="1"/>
  <c r="P99" i="1" s="1"/>
  <c r="V99" i="1" s="1"/>
  <c r="W99" i="1" s="1"/>
  <c r="J99" i="1"/>
  <c r="Z98" i="1"/>
  <c r="AA98" i="1" s="1"/>
  <c r="AB98" i="1" s="1"/>
  <c r="R98" i="1"/>
  <c r="S98" i="1" s="1"/>
  <c r="N98" i="1"/>
  <c r="M98" i="1"/>
  <c r="K98" i="1"/>
  <c r="J98" i="1"/>
  <c r="AB97" i="1"/>
  <c r="AA97" i="1"/>
  <c r="Z97" i="1"/>
  <c r="S97" i="1"/>
  <c r="AI97" i="1" s="1"/>
  <c r="AJ97" i="1" s="1"/>
  <c r="P97" i="1"/>
  <c r="V97" i="1" s="1"/>
  <c r="W97" i="1" s="1"/>
  <c r="M97" i="1"/>
  <c r="J97" i="1"/>
  <c r="S96" i="1"/>
  <c r="N96" i="1"/>
  <c r="K96" i="1"/>
  <c r="M96" i="1" s="1"/>
  <c r="P96" i="1" s="1"/>
  <c r="J96" i="1"/>
  <c r="AJ95" i="1"/>
  <c r="Z95" i="1"/>
  <c r="AA95" i="1" s="1"/>
  <c r="AB95" i="1" s="1"/>
  <c r="S95" i="1"/>
  <c r="AI95" i="1" s="1"/>
  <c r="R95" i="1"/>
  <c r="N95" i="1"/>
  <c r="M95" i="1"/>
  <c r="P95" i="1" s="1"/>
  <c r="V95" i="1" s="1"/>
  <c r="W95" i="1" s="1"/>
  <c r="K95" i="1"/>
  <c r="J95" i="1"/>
  <c r="AA94" i="1"/>
  <c r="AB94" i="1" s="1"/>
  <c r="Z94" i="1"/>
  <c r="R94" i="1"/>
  <c r="S94" i="1" s="1"/>
  <c r="P94" i="1"/>
  <c r="N94" i="1"/>
  <c r="M94" i="1"/>
  <c r="K94" i="1"/>
  <c r="J94" i="1"/>
  <c r="AE93" i="1"/>
  <c r="AF93" i="1" s="1"/>
  <c r="AB93" i="1"/>
  <c r="AA93" i="1"/>
  <c r="S93" i="1"/>
  <c r="U93" i="1" s="1"/>
  <c r="N93" i="1"/>
  <c r="P93" i="1" s="1"/>
  <c r="V93" i="1" s="1"/>
  <c r="W93" i="1" s="1"/>
  <c r="M93" i="1"/>
  <c r="K93" i="1"/>
  <c r="J93" i="1"/>
  <c r="AB92" i="1"/>
  <c r="AA92" i="1"/>
  <c r="Z92" i="1"/>
  <c r="R92" i="1"/>
  <c r="S92" i="1" s="1"/>
  <c r="N92" i="1"/>
  <c r="M92" i="1"/>
  <c r="P92" i="1" s="1"/>
  <c r="K92" i="1"/>
  <c r="J92" i="1"/>
  <c r="AI91" i="1"/>
  <c r="AJ91" i="1" s="1"/>
  <c r="AA91" i="1"/>
  <c r="AB91" i="1" s="1"/>
  <c r="Z91" i="1"/>
  <c r="U91" i="1"/>
  <c r="T91" i="1"/>
  <c r="S91" i="1"/>
  <c r="AE91" i="1" s="1"/>
  <c r="AF91" i="1" s="1"/>
  <c r="R91" i="1"/>
  <c r="N91" i="1"/>
  <c r="K91" i="1"/>
  <c r="M91" i="1" s="1"/>
  <c r="P91" i="1" s="1"/>
  <c r="V91" i="1" s="1"/>
  <c r="W91" i="1" s="1"/>
  <c r="J91" i="1"/>
  <c r="W90" i="1"/>
  <c r="T90" i="1"/>
  <c r="S90" i="1"/>
  <c r="U90" i="1" s="1"/>
  <c r="M90" i="1"/>
  <c r="P90" i="1" s="1"/>
  <c r="V90" i="1" s="1"/>
  <c r="J90" i="1"/>
  <c r="Z89" i="1"/>
  <c r="AA89" i="1" s="1"/>
  <c r="AB89" i="1" s="1"/>
  <c r="S89" i="1"/>
  <c r="R89" i="1"/>
  <c r="N89" i="1"/>
  <c r="M89" i="1"/>
  <c r="P89" i="1" s="1"/>
  <c r="K89" i="1"/>
  <c r="J89" i="1"/>
  <c r="H89" i="1"/>
  <c r="AB88" i="1"/>
  <c r="AA88" i="1"/>
  <c r="Z88" i="1"/>
  <c r="R88" i="1"/>
  <c r="S88" i="1" s="1"/>
  <c r="P88" i="1"/>
  <c r="V88" i="1" s="1"/>
  <c r="W88" i="1" s="1"/>
  <c r="M88" i="1"/>
  <c r="J88" i="1"/>
  <c r="AA87" i="1"/>
  <c r="AB87" i="1" s="1"/>
  <c r="Z87" i="1"/>
  <c r="S87" i="1"/>
  <c r="AI87" i="1" s="1"/>
  <c r="AJ87" i="1" s="1"/>
  <c r="P87" i="1"/>
  <c r="V87" i="1" s="1"/>
  <c r="W87" i="1" s="1"/>
  <c r="N87" i="1"/>
  <c r="M87" i="1"/>
  <c r="K87" i="1"/>
  <c r="J87" i="1"/>
  <c r="AB86" i="1"/>
  <c r="AA86" i="1"/>
  <c r="Z86" i="1"/>
  <c r="S86" i="1"/>
  <c r="R86" i="1"/>
  <c r="O86" i="1"/>
  <c r="M86" i="1"/>
  <c r="P86" i="1" s="1"/>
  <c r="J86" i="1"/>
  <c r="F85" i="1"/>
  <c r="F113" i="1" s="1"/>
  <c r="Z84" i="1"/>
  <c r="R84" i="1"/>
  <c r="N84" i="1"/>
  <c r="K84" i="1"/>
  <c r="J84" i="1"/>
  <c r="I84" i="1"/>
  <c r="I113" i="1" s="1"/>
  <c r="H84" i="1"/>
  <c r="G84" i="1"/>
  <c r="G113" i="1" s="1"/>
  <c r="F84" i="1"/>
  <c r="AD80" i="1"/>
  <c r="Q80" i="1"/>
  <c r="O80" i="1"/>
  <c r="L80" i="1"/>
  <c r="I80" i="1"/>
  <c r="H80" i="1"/>
  <c r="G80" i="1"/>
  <c r="F80" i="1"/>
  <c r="E80" i="1"/>
  <c r="Z79" i="1"/>
  <c r="AA79" i="1" s="1"/>
  <c r="AB79" i="1" s="1"/>
  <c r="N79" i="1"/>
  <c r="N80" i="1" s="1"/>
  <c r="M79" i="1"/>
  <c r="K79" i="1"/>
  <c r="K80" i="1" s="1"/>
  <c r="J79" i="1"/>
  <c r="F78" i="1"/>
  <c r="AA77" i="1"/>
  <c r="AA80" i="1" s="1"/>
  <c r="AB80" i="1" s="1"/>
  <c r="Z77" i="1"/>
  <c r="Z80" i="1" s="1"/>
  <c r="R77" i="1"/>
  <c r="P77" i="1"/>
  <c r="M77" i="1"/>
  <c r="J77" i="1"/>
  <c r="J80" i="1" s="1"/>
  <c r="AD73" i="1"/>
  <c r="O73" i="1"/>
  <c r="L73" i="1"/>
  <c r="I73" i="1"/>
  <c r="E73" i="1"/>
  <c r="AI72" i="1"/>
  <c r="AJ72" i="1" s="1"/>
  <c r="AF72" i="1"/>
  <c r="AA72" i="1"/>
  <c r="AB72" i="1" s="1"/>
  <c r="Z72" i="1"/>
  <c r="U72" i="1"/>
  <c r="T72" i="1"/>
  <c r="S72" i="1"/>
  <c r="AE72" i="1" s="1"/>
  <c r="N72" i="1"/>
  <c r="K72" i="1"/>
  <c r="M72" i="1" s="1"/>
  <c r="J72" i="1"/>
  <c r="Z71" i="1"/>
  <c r="Q71" i="1"/>
  <c r="Q73" i="1" s="1"/>
  <c r="P71" i="1"/>
  <c r="M71" i="1"/>
  <c r="L71" i="1"/>
  <c r="J71" i="1"/>
  <c r="AA70" i="1"/>
  <c r="AB70" i="1" s="1"/>
  <c r="Z70" i="1"/>
  <c r="V70" i="1"/>
  <c r="W70" i="1" s="1"/>
  <c r="R70" i="1"/>
  <c r="S70" i="1" s="1"/>
  <c r="P70" i="1"/>
  <c r="N70" i="1"/>
  <c r="M70" i="1"/>
  <c r="J70" i="1"/>
  <c r="Z69" i="1"/>
  <c r="AA69" i="1" s="1"/>
  <c r="AB69" i="1" s="1"/>
  <c r="R69" i="1"/>
  <c r="S69" i="1" s="1"/>
  <c r="M69" i="1"/>
  <c r="P69" i="1" s="1"/>
  <c r="J69" i="1"/>
  <c r="Z68" i="1"/>
  <c r="AA68" i="1" s="1"/>
  <c r="AB68" i="1" s="1"/>
  <c r="R68" i="1"/>
  <c r="S68" i="1" s="1"/>
  <c r="N68" i="1"/>
  <c r="M68" i="1"/>
  <c r="P68" i="1" s="1"/>
  <c r="K68" i="1"/>
  <c r="H68" i="1"/>
  <c r="H73" i="1" s="1"/>
  <c r="AJ67" i="1"/>
  <c r="AF67" i="1"/>
  <c r="Z67" i="1"/>
  <c r="AB67" i="1" s="1"/>
  <c r="S67" i="1"/>
  <c r="P67" i="1"/>
  <c r="M67" i="1"/>
  <c r="J67" i="1"/>
  <c r="AB66" i="1"/>
  <c r="AA66" i="1"/>
  <c r="Z66" i="1"/>
  <c r="N66" i="1"/>
  <c r="K66" i="1"/>
  <c r="M66" i="1" s="1"/>
  <c r="P66" i="1" s="1"/>
  <c r="R66" i="1" s="1"/>
  <c r="S66" i="1" s="1"/>
  <c r="J66" i="1"/>
  <c r="F65" i="1"/>
  <c r="F73" i="1" s="1"/>
  <c r="AJ64" i="1"/>
  <c r="AI64" i="1"/>
  <c r="Z64" i="1"/>
  <c r="U64" i="1"/>
  <c r="R64" i="1"/>
  <c r="S64" i="1" s="1"/>
  <c r="N64" i="1"/>
  <c r="N73" i="1" s="1"/>
  <c r="K64" i="1"/>
  <c r="J64" i="1"/>
  <c r="G64" i="1"/>
  <c r="AD60" i="1"/>
  <c r="Q60" i="1"/>
  <c r="E60" i="1"/>
  <c r="Z59" i="1"/>
  <c r="L59" i="1"/>
  <c r="J59" i="1"/>
  <c r="Z58" i="1"/>
  <c r="AA58" i="1" s="1"/>
  <c r="AB58" i="1" s="1"/>
  <c r="M58" i="1"/>
  <c r="P58" i="1" s="1"/>
  <c r="J58" i="1"/>
  <c r="Z57" i="1"/>
  <c r="V57" i="1"/>
  <c r="W57" i="1" s="1"/>
  <c r="U57" i="1"/>
  <c r="M57" i="1"/>
  <c r="P57" i="1" s="1"/>
  <c r="R57" i="1" s="1"/>
  <c r="S57" i="1" s="1"/>
  <c r="T57" i="1" s="1"/>
  <c r="J57" i="1"/>
  <c r="AI56" i="1"/>
  <c r="AJ56" i="1" s="1"/>
  <c r="AA56" i="1"/>
  <c r="AB56" i="1" s="1"/>
  <c r="Z56" i="1"/>
  <c r="R56" i="1"/>
  <c r="S56" i="1" s="1"/>
  <c r="V56" i="1" s="1"/>
  <c r="W56" i="1" s="1"/>
  <c r="P56" i="1"/>
  <c r="M56" i="1"/>
  <c r="J56" i="1"/>
  <c r="AI55" i="1"/>
  <c r="AJ55" i="1" s="1"/>
  <c r="AE55" i="1"/>
  <c r="AF55" i="1" s="1"/>
  <c r="Z55" i="1"/>
  <c r="AA55" i="1" s="1"/>
  <c r="AB55" i="1" s="1"/>
  <c r="U55" i="1"/>
  <c r="S55" i="1"/>
  <c r="T55" i="1" s="1"/>
  <c r="P55" i="1"/>
  <c r="V55" i="1" s="1"/>
  <c r="W55" i="1" s="1"/>
  <c r="M55" i="1"/>
  <c r="J55" i="1"/>
  <c r="M54" i="1"/>
  <c r="P54" i="1" s="1"/>
  <c r="G54" i="1"/>
  <c r="F54" i="1"/>
  <c r="AF53" i="1"/>
  <c r="AE53" i="1"/>
  <c r="Z53" i="1"/>
  <c r="AA53" i="1" s="1"/>
  <c r="AB53" i="1" s="1"/>
  <c r="V53" i="1"/>
  <c r="W53" i="1" s="1"/>
  <c r="T53" i="1"/>
  <c r="S53" i="1"/>
  <c r="AI53" i="1" s="1"/>
  <c r="AJ53" i="1" s="1"/>
  <c r="R53" i="1"/>
  <c r="N53" i="1"/>
  <c r="K53" i="1"/>
  <c r="M53" i="1" s="1"/>
  <c r="P53" i="1" s="1"/>
  <c r="J53" i="1"/>
  <c r="I53" i="1"/>
  <c r="I60" i="1" s="1"/>
  <c r="G53" i="1"/>
  <c r="Z52" i="1"/>
  <c r="AA52" i="1" s="1"/>
  <c r="AB52" i="1" s="1"/>
  <c r="N52" i="1"/>
  <c r="M52" i="1"/>
  <c r="K52" i="1"/>
  <c r="J52" i="1"/>
  <c r="M51" i="1"/>
  <c r="P51" i="1" s="1"/>
  <c r="AI50" i="1"/>
  <c r="AJ50" i="1" s="1"/>
  <c r="AA50" i="1"/>
  <c r="AB50" i="1" s="1"/>
  <c r="Z50" i="1"/>
  <c r="U50" i="1"/>
  <c r="S50" i="1"/>
  <c r="T50" i="1" s="1"/>
  <c r="R50" i="1"/>
  <c r="O50" i="1"/>
  <c r="O60" i="1" s="1"/>
  <c r="N50" i="1"/>
  <c r="M50" i="1"/>
  <c r="P50" i="1" s="1"/>
  <c r="V50" i="1" s="1"/>
  <c r="W50" i="1" s="1"/>
  <c r="K50" i="1"/>
  <c r="H50" i="1"/>
  <c r="H60" i="1" s="1"/>
  <c r="F50" i="1"/>
  <c r="T49" i="1"/>
  <c r="S49" i="1"/>
  <c r="M49" i="1"/>
  <c r="P49" i="1" s="1"/>
  <c r="V49" i="1" s="1"/>
  <c r="W49" i="1" s="1"/>
  <c r="AB48" i="1"/>
  <c r="AA48" i="1"/>
  <c r="Z48" i="1"/>
  <c r="U48" i="1"/>
  <c r="R48" i="1"/>
  <c r="S48" i="1" s="1"/>
  <c r="AI48" i="1" s="1"/>
  <c r="AJ48" i="1" s="1"/>
  <c r="P48" i="1"/>
  <c r="M48" i="1"/>
  <c r="J48" i="1"/>
  <c r="S47" i="1"/>
  <c r="P47" i="1"/>
  <c r="V47" i="1" s="1"/>
  <c r="W47" i="1" s="1"/>
  <c r="M47" i="1"/>
  <c r="J47" i="1"/>
  <c r="AB46" i="1"/>
  <c r="AA46" i="1"/>
  <c r="Z46" i="1"/>
  <c r="R46" i="1"/>
  <c r="S46" i="1" s="1"/>
  <c r="P46" i="1"/>
  <c r="V46" i="1" s="1"/>
  <c r="W46" i="1" s="1"/>
  <c r="N46" i="1"/>
  <c r="M46" i="1"/>
  <c r="K46" i="1"/>
  <c r="J46" i="1"/>
  <c r="AB45" i="1"/>
  <c r="AA45" i="1"/>
  <c r="Z45" i="1"/>
  <c r="T45" i="1"/>
  <c r="S45" i="1"/>
  <c r="AE45" i="1" s="1"/>
  <c r="AF45" i="1" s="1"/>
  <c r="R45" i="1"/>
  <c r="P45" i="1"/>
  <c r="M45" i="1"/>
  <c r="J45" i="1"/>
  <c r="G44" i="1"/>
  <c r="F44" i="1"/>
  <c r="AJ43" i="1"/>
  <c r="AI43" i="1"/>
  <c r="AA43" i="1"/>
  <c r="Z43" i="1"/>
  <c r="U43" i="1"/>
  <c r="T43" i="1"/>
  <c r="S43" i="1"/>
  <c r="R43" i="1"/>
  <c r="N43" i="1"/>
  <c r="N60" i="1" s="1"/>
  <c r="K43" i="1"/>
  <c r="J43" i="1"/>
  <c r="G43" i="1"/>
  <c r="AD39" i="1"/>
  <c r="Q39" i="1"/>
  <c r="O39" i="1"/>
  <c r="I39" i="1"/>
  <c r="E39" i="1"/>
  <c r="AF38" i="1"/>
  <c r="AE38" i="1"/>
  <c r="Z38" i="1"/>
  <c r="AA38" i="1" s="1"/>
  <c r="AB38" i="1" s="1"/>
  <c r="W38" i="1"/>
  <c r="T38" i="1"/>
  <c r="S38" i="1"/>
  <c r="P38" i="1"/>
  <c r="V38" i="1" s="1"/>
  <c r="M38" i="1"/>
  <c r="J38" i="1"/>
  <c r="M37" i="1"/>
  <c r="AI36" i="1"/>
  <c r="AJ36" i="1" s="1"/>
  <c r="AA36" i="1"/>
  <c r="AB36" i="1" s="1"/>
  <c r="Z36" i="1"/>
  <c r="R36" i="1"/>
  <c r="S36" i="1" s="1"/>
  <c r="U36" i="1" s="1"/>
  <c r="N36" i="1"/>
  <c r="K36" i="1"/>
  <c r="M36" i="1" s="1"/>
  <c r="P36" i="1" s="1"/>
  <c r="V36" i="1" s="1"/>
  <c r="W36" i="1" s="1"/>
  <c r="J36" i="1"/>
  <c r="H36" i="1"/>
  <c r="F36" i="1"/>
  <c r="F37" i="1" s="1"/>
  <c r="G37" i="1" s="1"/>
  <c r="AB35" i="1"/>
  <c r="AA35" i="1"/>
  <c r="Z35" i="1"/>
  <c r="R35" i="1"/>
  <c r="S35" i="1" s="1"/>
  <c r="P35" i="1"/>
  <c r="M35" i="1"/>
  <c r="J35" i="1"/>
  <c r="AE34" i="1"/>
  <c r="AF34" i="1" s="1"/>
  <c r="AB34" i="1"/>
  <c r="AA34" i="1"/>
  <c r="Z34" i="1"/>
  <c r="S34" i="1"/>
  <c r="V34" i="1" s="1"/>
  <c r="W34" i="1" s="1"/>
  <c r="R34" i="1"/>
  <c r="P34" i="1"/>
  <c r="M34" i="1"/>
  <c r="J34" i="1"/>
  <c r="S33" i="1"/>
  <c r="T33" i="1" s="1"/>
  <c r="P33" i="1"/>
  <c r="M33" i="1"/>
  <c r="U32" i="1"/>
  <c r="T32" i="1"/>
  <c r="S32" i="1"/>
  <c r="P32" i="1"/>
  <c r="V32" i="1" s="1"/>
  <c r="W32" i="1" s="1"/>
  <c r="M32" i="1"/>
  <c r="J32" i="1"/>
  <c r="AA31" i="1"/>
  <c r="AB31" i="1" s="1"/>
  <c r="Z31" i="1"/>
  <c r="R31" i="1"/>
  <c r="S31" i="1" s="1"/>
  <c r="T31" i="1" s="1"/>
  <c r="P31" i="1"/>
  <c r="N31" i="1"/>
  <c r="M31" i="1"/>
  <c r="K31" i="1"/>
  <c r="J31" i="1"/>
  <c r="AB30" i="1"/>
  <c r="AA30" i="1"/>
  <c r="Z30" i="1"/>
  <c r="R30" i="1"/>
  <c r="S30" i="1" s="1"/>
  <c r="Q30" i="1"/>
  <c r="M30" i="1"/>
  <c r="P30" i="1" s="1"/>
  <c r="J30" i="1"/>
  <c r="J39" i="1" s="1"/>
  <c r="M29" i="1"/>
  <c r="Z28" i="1"/>
  <c r="AA28" i="1" s="1"/>
  <c r="AB28" i="1" s="1"/>
  <c r="R28" i="1"/>
  <c r="S28" i="1" s="1"/>
  <c r="N28" i="1"/>
  <c r="N39" i="1" s="1"/>
  <c r="K28" i="1"/>
  <c r="J28" i="1"/>
  <c r="H28" i="1"/>
  <c r="H39" i="1" s="1"/>
  <c r="F28" i="1"/>
  <c r="G28" i="1" s="1"/>
  <c r="Z27" i="1"/>
  <c r="Z39" i="1" s="1"/>
  <c r="L27" i="1"/>
  <c r="J27" i="1"/>
  <c r="AH23" i="1"/>
  <c r="AD23" i="1"/>
  <c r="AD181" i="1" s="1"/>
  <c r="G23" i="1"/>
  <c r="F23" i="1"/>
  <c r="E23" i="1"/>
  <c r="AA22" i="1"/>
  <c r="AB22" i="1" s="1"/>
  <c r="Z22" i="1"/>
  <c r="P22" i="1"/>
  <c r="M22" i="1"/>
  <c r="J22" i="1"/>
  <c r="Z21" i="1"/>
  <c r="AA21" i="1" s="1"/>
  <c r="AB21" i="1" s="1"/>
  <c r="N21" i="1"/>
  <c r="P21" i="1" s="1"/>
  <c r="M21" i="1"/>
  <c r="K21" i="1"/>
  <c r="J21" i="1"/>
  <c r="AB20" i="1"/>
  <c r="AA20" i="1"/>
  <c r="Z20" i="1"/>
  <c r="R20" i="1"/>
  <c r="S20" i="1" s="1"/>
  <c r="P20" i="1"/>
  <c r="M20" i="1"/>
  <c r="J20" i="1"/>
  <c r="AB19" i="1"/>
  <c r="AA19" i="1"/>
  <c r="Z19" i="1"/>
  <c r="Q19" i="1"/>
  <c r="N19" i="1"/>
  <c r="M19" i="1"/>
  <c r="P19" i="1" s="1"/>
  <c r="K19" i="1"/>
  <c r="J19" i="1"/>
  <c r="R18" i="1"/>
  <c r="S18" i="1" s="1"/>
  <c r="Q18" i="1"/>
  <c r="O18" i="1"/>
  <c r="N18" i="1"/>
  <c r="M18" i="1"/>
  <c r="K18" i="1"/>
  <c r="I18" i="1"/>
  <c r="J18" i="1" s="1"/>
  <c r="Z17" i="1"/>
  <c r="AA17" i="1" s="1"/>
  <c r="AB17" i="1" s="1"/>
  <c r="Q17" i="1"/>
  <c r="Q23" i="1" s="1"/>
  <c r="N17" i="1"/>
  <c r="L17" i="1"/>
  <c r="L23" i="1" s="1"/>
  <c r="K17" i="1"/>
  <c r="M17" i="1" s="1"/>
  <c r="J17" i="1"/>
  <c r="I17" i="1"/>
  <c r="I23" i="1" s="1"/>
  <c r="AI16" i="1"/>
  <c r="AJ16" i="1" s="1"/>
  <c r="Z16" i="1"/>
  <c r="U16" i="1"/>
  <c r="T16" i="1"/>
  <c r="S16" i="1"/>
  <c r="AE16" i="1" s="1"/>
  <c r="AF16" i="1" s="1"/>
  <c r="O16" i="1"/>
  <c r="AA16" i="1" s="1"/>
  <c r="AB16" i="1" s="1"/>
  <c r="N16" i="1"/>
  <c r="M16" i="1"/>
  <c r="K16" i="1"/>
  <c r="H16" i="1"/>
  <c r="J16" i="1" s="1"/>
  <c r="U15" i="1"/>
  <c r="T15" i="1"/>
  <c r="S15" i="1"/>
  <c r="M15" i="1"/>
  <c r="P15" i="1" s="1"/>
  <c r="V15" i="1" s="1"/>
  <c r="W15" i="1" s="1"/>
  <c r="J15" i="1"/>
  <c r="AH14" i="1"/>
  <c r="Z14" i="1"/>
  <c r="AA14" i="1" s="1"/>
  <c r="AB14" i="1" s="1"/>
  <c r="U14" i="1"/>
  <c r="T14" i="1"/>
  <c r="S14" i="1"/>
  <c r="AI14" i="1" s="1"/>
  <c r="AJ14" i="1" s="1"/>
  <c r="R14" i="1"/>
  <c r="N14" i="1"/>
  <c r="P14" i="1" s="1"/>
  <c r="V14" i="1" s="1"/>
  <c r="W14" i="1" s="1"/>
  <c r="M14" i="1"/>
  <c r="K14" i="1"/>
  <c r="H14" i="1"/>
  <c r="J14" i="1" s="1"/>
  <c r="G13" i="1"/>
  <c r="AH12" i="1"/>
  <c r="AB12" i="1"/>
  <c r="AA12" i="1"/>
  <c r="Z12" i="1"/>
  <c r="R12" i="1"/>
  <c r="S12" i="1" s="1"/>
  <c r="N12" i="1"/>
  <c r="K12" i="1"/>
  <c r="K23" i="1" s="1"/>
  <c r="J12" i="1"/>
  <c r="J23" i="1" s="1"/>
  <c r="H12" i="1"/>
  <c r="G12" i="1"/>
  <c r="R21" i="1" l="1"/>
  <c r="S21" i="1" s="1"/>
  <c r="V21" i="1" s="1"/>
  <c r="W21" i="1" s="1"/>
  <c r="V30" i="1"/>
  <c r="W30" i="1" s="1"/>
  <c r="AI20" i="1"/>
  <c r="AJ20" i="1" s="1"/>
  <c r="U20" i="1"/>
  <c r="T20" i="1"/>
  <c r="V20" i="1"/>
  <c r="W20" i="1" s="1"/>
  <c r="AE20" i="1"/>
  <c r="AF20" i="1" s="1"/>
  <c r="AI92" i="1"/>
  <c r="AJ92" i="1" s="1"/>
  <c r="U92" i="1"/>
  <c r="T92" i="1"/>
  <c r="AE92" i="1"/>
  <c r="AF92" i="1" s="1"/>
  <c r="AI30" i="1"/>
  <c r="AJ30" i="1" s="1"/>
  <c r="U30" i="1"/>
  <c r="AE30" i="1"/>
  <c r="AF30" i="1" s="1"/>
  <c r="AI35" i="1"/>
  <c r="AJ35" i="1" s="1"/>
  <c r="U35" i="1"/>
  <c r="T35" i="1"/>
  <c r="V35" i="1"/>
  <c r="W35" i="1" s="1"/>
  <c r="AE35" i="1"/>
  <c r="AF35" i="1" s="1"/>
  <c r="N23" i="1"/>
  <c r="T46" i="1"/>
  <c r="AE46" i="1"/>
  <c r="AF46" i="1" s="1"/>
  <c r="P17" i="1"/>
  <c r="U18" i="1"/>
  <c r="T18" i="1"/>
  <c r="R19" i="1"/>
  <c r="S19" i="1" s="1"/>
  <c r="T19" i="1" s="1"/>
  <c r="O23" i="1"/>
  <c r="T30" i="1"/>
  <c r="K60" i="1"/>
  <c r="M43" i="1"/>
  <c r="V45" i="1"/>
  <c r="W45" i="1" s="1"/>
  <c r="U46" i="1"/>
  <c r="U47" i="1"/>
  <c r="T47" i="1"/>
  <c r="P52" i="1"/>
  <c r="V66" i="1"/>
  <c r="W66" i="1" s="1"/>
  <c r="U67" i="1"/>
  <c r="T67" i="1"/>
  <c r="L181" i="1"/>
  <c r="AI68" i="1"/>
  <c r="AJ68" i="1" s="1"/>
  <c r="U68" i="1"/>
  <c r="T68" i="1"/>
  <c r="AE68" i="1"/>
  <c r="AF68" i="1" s="1"/>
  <c r="V33" i="1"/>
  <c r="W33" i="1" s="1"/>
  <c r="AI45" i="1"/>
  <c r="AJ45" i="1" s="1"/>
  <c r="U45" i="1"/>
  <c r="P79" i="1"/>
  <c r="M80" i="1"/>
  <c r="U101" i="1"/>
  <c r="AI101" i="1"/>
  <c r="AJ101" i="1" s="1"/>
  <c r="T101" i="1"/>
  <c r="AE101" i="1"/>
  <c r="AF101" i="1" s="1"/>
  <c r="M27" i="1"/>
  <c r="L39" i="1"/>
  <c r="AB43" i="1"/>
  <c r="AA60" i="1"/>
  <c r="T12" i="1"/>
  <c r="AE12" i="1"/>
  <c r="AI12" i="1"/>
  <c r="K39" i="1"/>
  <c r="K181" i="1" s="1"/>
  <c r="R71" i="1"/>
  <c r="AI98" i="1"/>
  <c r="AJ98" i="1" s="1"/>
  <c r="U98" i="1"/>
  <c r="T98" i="1"/>
  <c r="AE98" i="1"/>
  <c r="AF98" i="1" s="1"/>
  <c r="R22" i="1"/>
  <c r="S22" i="1" s="1"/>
  <c r="V22" i="1"/>
  <c r="W22" i="1" s="1"/>
  <c r="G50" i="1"/>
  <c r="F51" i="1"/>
  <c r="AI66" i="1"/>
  <c r="AJ66" i="1" s="1"/>
  <c r="U66" i="1"/>
  <c r="T66" i="1"/>
  <c r="AE66" i="1"/>
  <c r="AF66" i="1" s="1"/>
  <c r="T56" i="1"/>
  <c r="U56" i="1"/>
  <c r="U12" i="1"/>
  <c r="Z23" i="1"/>
  <c r="P16" i="1"/>
  <c r="V16" i="1" s="1"/>
  <c r="W16" i="1" s="1"/>
  <c r="P18" i="1"/>
  <c r="V18" i="1" s="1"/>
  <c r="W18" i="1" s="1"/>
  <c r="M28" i="1"/>
  <c r="P28" i="1" s="1"/>
  <c r="V28" i="1" s="1"/>
  <c r="W28" i="1" s="1"/>
  <c r="F29" i="1"/>
  <c r="AI38" i="1"/>
  <c r="AJ38" i="1" s="1"/>
  <c r="U38" i="1"/>
  <c r="AI46" i="1"/>
  <c r="AJ46" i="1" s="1"/>
  <c r="V48" i="1"/>
  <c r="W48" i="1" s="1"/>
  <c r="J73" i="1"/>
  <c r="V69" i="1"/>
  <c r="W69" i="1" s="1"/>
  <c r="I181" i="1"/>
  <c r="AE28" i="1"/>
  <c r="AF28" i="1" s="1"/>
  <c r="AI28" i="1"/>
  <c r="AJ28" i="1" s="1"/>
  <c r="U28" i="1"/>
  <c r="T28" i="1"/>
  <c r="AI31" i="1"/>
  <c r="AJ31" i="1" s="1"/>
  <c r="U31" i="1"/>
  <c r="AE31" i="1"/>
  <c r="AF31" i="1" s="1"/>
  <c r="AI34" i="1"/>
  <c r="AJ34" i="1" s="1"/>
  <c r="U34" i="1"/>
  <c r="T34" i="1"/>
  <c r="T36" i="1"/>
  <c r="AE36" i="1"/>
  <c r="AF36" i="1" s="1"/>
  <c r="H23" i="1"/>
  <c r="AA23" i="1"/>
  <c r="V31" i="1"/>
  <c r="W31" i="1" s="1"/>
  <c r="T48" i="1"/>
  <c r="AE48" i="1"/>
  <c r="AF48" i="1" s="1"/>
  <c r="AE56" i="1"/>
  <c r="AF56" i="1" s="1"/>
  <c r="R58" i="1"/>
  <c r="S58" i="1" s="1"/>
  <c r="V58" i="1"/>
  <c r="W58" i="1" s="1"/>
  <c r="M64" i="1"/>
  <c r="K73" i="1"/>
  <c r="AI69" i="1"/>
  <c r="AJ69" i="1" s="1"/>
  <c r="U69" i="1"/>
  <c r="T69" i="1"/>
  <c r="AE69" i="1"/>
  <c r="AF69" i="1" s="1"/>
  <c r="K113" i="1"/>
  <c r="M84" i="1"/>
  <c r="M12" i="1"/>
  <c r="AA27" i="1"/>
  <c r="G36" i="1"/>
  <c r="AE43" i="1"/>
  <c r="AE50" i="1"/>
  <c r="AF50" i="1" s="1"/>
  <c r="Z73" i="1"/>
  <c r="AI86" i="1"/>
  <c r="AJ86" i="1" s="1"/>
  <c r="U86" i="1"/>
  <c r="T86" i="1"/>
  <c r="AI89" i="1"/>
  <c r="AJ89" i="1" s="1"/>
  <c r="U89" i="1"/>
  <c r="T89" i="1"/>
  <c r="V92" i="1"/>
  <c r="W92" i="1" s="1"/>
  <c r="P98" i="1"/>
  <c r="V98" i="1" s="1"/>
  <c r="W98" i="1" s="1"/>
  <c r="AI104" i="1"/>
  <c r="AJ104" i="1" s="1"/>
  <c r="U104" i="1"/>
  <c r="J126" i="1"/>
  <c r="W151" i="1"/>
  <c r="AI155" i="1"/>
  <c r="AJ155" i="1" s="1"/>
  <c r="U155" i="1"/>
  <c r="T155" i="1"/>
  <c r="AE155" i="1"/>
  <c r="AF155" i="1" s="1"/>
  <c r="AE14" i="1"/>
  <c r="AF14" i="1" s="1"/>
  <c r="E181" i="1"/>
  <c r="J50" i="1"/>
  <c r="J60" i="1" s="1"/>
  <c r="J181" i="1" s="1"/>
  <c r="U53" i="1"/>
  <c r="V67" i="1"/>
  <c r="W67" i="1" s="1"/>
  <c r="V68" i="1"/>
  <c r="W68" i="1" s="1"/>
  <c r="AB77" i="1"/>
  <c r="J113" i="1"/>
  <c r="V89" i="1"/>
  <c r="W89" i="1" s="1"/>
  <c r="V101" i="1"/>
  <c r="W101" i="1" s="1"/>
  <c r="R167" i="1"/>
  <c r="S167" i="1" s="1"/>
  <c r="P72" i="1"/>
  <c r="V72" i="1" s="1"/>
  <c r="W72" i="1" s="1"/>
  <c r="R73" i="1"/>
  <c r="P80" i="1"/>
  <c r="S84" i="1"/>
  <c r="AI88" i="1"/>
  <c r="AJ88" i="1" s="1"/>
  <c r="U88" i="1"/>
  <c r="T88" i="1"/>
  <c r="AE88" i="1"/>
  <c r="AF88" i="1" s="1"/>
  <c r="AE89" i="1"/>
  <c r="AF89" i="1" s="1"/>
  <c r="Z60" i="1"/>
  <c r="T64" i="1"/>
  <c r="AE64" i="1"/>
  <c r="AI70" i="1"/>
  <c r="AJ70" i="1" s="1"/>
  <c r="U70" i="1"/>
  <c r="T70" i="1"/>
  <c r="AE70" i="1"/>
  <c r="AF70" i="1" s="1"/>
  <c r="S77" i="1"/>
  <c r="V86" i="1"/>
  <c r="W86" i="1" s="1"/>
  <c r="AE86" i="1"/>
  <c r="AF86" i="1" s="1"/>
  <c r="V94" i="1"/>
  <c r="W94" i="1" s="1"/>
  <c r="AI102" i="1"/>
  <c r="AJ102" i="1" s="1"/>
  <c r="U102" i="1"/>
  <c r="T102" i="1"/>
  <c r="AE102" i="1"/>
  <c r="AF102" i="1" s="1"/>
  <c r="V104" i="1"/>
  <c r="W104" i="1" s="1"/>
  <c r="AI108" i="1"/>
  <c r="AJ108" i="1" s="1"/>
  <c r="U108" i="1"/>
  <c r="T108" i="1"/>
  <c r="AE108" i="1"/>
  <c r="AF108" i="1" s="1"/>
  <c r="AI164" i="1"/>
  <c r="AJ164" i="1" s="1"/>
  <c r="U164" i="1"/>
  <c r="T164" i="1"/>
  <c r="AE164" i="1"/>
  <c r="AF164" i="1" s="1"/>
  <c r="AI94" i="1"/>
  <c r="AJ94" i="1" s="1"/>
  <c r="U94" i="1"/>
  <c r="T94" i="1"/>
  <c r="AE94" i="1"/>
  <c r="AF94" i="1" s="1"/>
  <c r="L60" i="1"/>
  <c r="M59" i="1"/>
  <c r="P59" i="1" s="1"/>
  <c r="J101" i="1"/>
  <c r="AI110" i="1"/>
  <c r="AJ110" i="1" s="1"/>
  <c r="U110" i="1"/>
  <c r="T110" i="1"/>
  <c r="AE110" i="1"/>
  <c r="AF110" i="1" s="1"/>
  <c r="S139" i="1"/>
  <c r="S143" i="1" s="1"/>
  <c r="V155" i="1"/>
  <c r="W155" i="1" s="1"/>
  <c r="AI176" i="1"/>
  <c r="AJ176" i="1" s="1"/>
  <c r="U176" i="1"/>
  <c r="AE176" i="1"/>
  <c r="AF176" i="1" s="1"/>
  <c r="AE87" i="1"/>
  <c r="AF87" i="1" s="1"/>
  <c r="AE97" i="1"/>
  <c r="AF97" i="1" s="1"/>
  <c r="Z126" i="1"/>
  <c r="AI119" i="1"/>
  <c r="AJ119" i="1" s="1"/>
  <c r="U119" i="1"/>
  <c r="AE119" i="1"/>
  <c r="AF119" i="1" s="1"/>
  <c r="K126" i="1"/>
  <c r="M124" i="1"/>
  <c r="P124" i="1" s="1"/>
  <c r="V124" i="1" s="1"/>
  <c r="W124" i="1" s="1"/>
  <c r="R133" i="1"/>
  <c r="S133" i="1" s="1"/>
  <c r="H145" i="1"/>
  <c r="AI137" i="1"/>
  <c r="U137" i="1"/>
  <c r="T137" i="1"/>
  <c r="M170" i="1"/>
  <c r="AI166" i="1"/>
  <c r="AJ166" i="1" s="1"/>
  <c r="U166" i="1"/>
  <c r="T166" i="1"/>
  <c r="AE166" i="1"/>
  <c r="AF166" i="1" s="1"/>
  <c r="T176" i="1"/>
  <c r="G65" i="1"/>
  <c r="G73" i="1" s="1"/>
  <c r="J68" i="1"/>
  <c r="N113" i="1"/>
  <c r="Z113" i="1"/>
  <c r="G85" i="1"/>
  <c r="T87" i="1"/>
  <c r="T93" i="1"/>
  <c r="AI93" i="1"/>
  <c r="AJ93" i="1" s="1"/>
  <c r="T97" i="1"/>
  <c r="AE99" i="1"/>
  <c r="AF99" i="1" s="1"/>
  <c r="T119" i="1"/>
  <c r="V121" i="1"/>
  <c r="W121" i="1" s="1"/>
  <c r="V123" i="1"/>
  <c r="W123" i="1" s="1"/>
  <c r="P125" i="1"/>
  <c r="V125" i="1" s="1"/>
  <c r="W125" i="1" s="1"/>
  <c r="O145" i="1"/>
  <c r="I145" i="1"/>
  <c r="AB137" i="1"/>
  <c r="S149" i="1"/>
  <c r="R170" i="1"/>
  <c r="V161" i="1"/>
  <c r="W161" i="1" s="1"/>
  <c r="V166" i="1"/>
  <c r="W166" i="1" s="1"/>
  <c r="Q170" i="1"/>
  <c r="AA64" i="1"/>
  <c r="S71" i="1"/>
  <c r="AA84" i="1"/>
  <c r="U87" i="1"/>
  <c r="U97" i="1"/>
  <c r="O126" i="1"/>
  <c r="AE120" i="1"/>
  <c r="AF120" i="1" s="1"/>
  <c r="AI120" i="1"/>
  <c r="AJ120" i="1" s="1"/>
  <c r="T120" i="1"/>
  <c r="P132" i="1"/>
  <c r="M134" i="1"/>
  <c r="K134" i="1"/>
  <c r="K145" i="1" s="1"/>
  <c r="AE137" i="1"/>
  <c r="AI140" i="1"/>
  <c r="AJ140" i="1" s="1"/>
  <c r="U140" i="1"/>
  <c r="T140" i="1"/>
  <c r="P158" i="1"/>
  <c r="V158" i="1" s="1"/>
  <c r="W158" i="1" s="1"/>
  <c r="O170" i="1"/>
  <c r="AE95" i="1"/>
  <c r="AF95" i="1" s="1"/>
  <c r="AE100" i="1"/>
  <c r="AF100" i="1" s="1"/>
  <c r="AE103" i="1"/>
  <c r="AF103" i="1" s="1"/>
  <c r="AI121" i="1"/>
  <c r="AJ121" i="1" s="1"/>
  <c r="U121" i="1"/>
  <c r="AE121" i="1"/>
  <c r="AF121" i="1" s="1"/>
  <c r="T123" i="1"/>
  <c r="AE123" i="1"/>
  <c r="AF123" i="1" s="1"/>
  <c r="T124" i="1"/>
  <c r="AE124" i="1"/>
  <c r="AF124" i="1" s="1"/>
  <c r="AA125" i="1"/>
  <c r="AI161" i="1"/>
  <c r="AJ161" i="1" s="1"/>
  <c r="U161" i="1"/>
  <c r="T161" i="1"/>
  <c r="AE161" i="1"/>
  <c r="AF161" i="1" s="1"/>
  <c r="AI165" i="1"/>
  <c r="AJ165" i="1" s="1"/>
  <c r="U165" i="1"/>
  <c r="T165" i="1"/>
  <c r="AE165" i="1"/>
  <c r="AF165" i="1" s="1"/>
  <c r="R169" i="1"/>
  <c r="S169" i="1" s="1"/>
  <c r="V169" i="1" s="1"/>
  <c r="W169" i="1" s="1"/>
  <c r="H113" i="1"/>
  <c r="T95" i="1"/>
  <c r="T100" i="1"/>
  <c r="T103" i="1"/>
  <c r="R112" i="1"/>
  <c r="S112" i="1" s="1"/>
  <c r="R126" i="1"/>
  <c r="T121" i="1"/>
  <c r="V122" i="1"/>
  <c r="W122" i="1" s="1"/>
  <c r="U123" i="1"/>
  <c r="U124" i="1"/>
  <c r="Q145" i="1"/>
  <c r="Q181" i="1" s="1"/>
  <c r="AE140" i="1"/>
  <c r="AF140" i="1" s="1"/>
  <c r="AI158" i="1"/>
  <c r="AJ158" i="1" s="1"/>
  <c r="U158" i="1"/>
  <c r="T158" i="1"/>
  <c r="AE158" i="1"/>
  <c r="AF158" i="1" s="1"/>
  <c r="V165" i="1"/>
  <c r="W165" i="1" s="1"/>
  <c r="U95" i="1"/>
  <c r="U100" i="1"/>
  <c r="U103" i="1"/>
  <c r="AI125" i="1"/>
  <c r="AJ125" i="1" s="1"/>
  <c r="U125" i="1"/>
  <c r="T125" i="1"/>
  <c r="AB132" i="1"/>
  <c r="R142" i="1"/>
  <c r="S142" i="1" s="1"/>
  <c r="T142" i="1" s="1"/>
  <c r="AA177" i="1"/>
  <c r="AB177" i="1" s="1"/>
  <c r="U117" i="1"/>
  <c r="AI117" i="1"/>
  <c r="U159" i="1"/>
  <c r="AI159" i="1"/>
  <c r="AJ159" i="1" s="1"/>
  <c r="P170" i="1"/>
  <c r="S126" i="1"/>
  <c r="T126" i="1" s="1"/>
  <c r="AE156" i="1"/>
  <c r="AF156" i="1" s="1"/>
  <c r="AA170" i="1"/>
  <c r="AB170" i="1" s="1"/>
  <c r="M137" i="1"/>
  <c r="T156" i="1"/>
  <c r="V176" i="1"/>
  <c r="W176" i="1" s="1"/>
  <c r="AA133" i="1"/>
  <c r="AB133" i="1" s="1"/>
  <c r="F138" i="1"/>
  <c r="F143" i="1" s="1"/>
  <c r="F145" i="1" s="1"/>
  <c r="AE152" i="1"/>
  <c r="AF152" i="1" s="1"/>
  <c r="U156" i="1"/>
  <c r="AE162" i="1"/>
  <c r="AF162" i="1" s="1"/>
  <c r="AA140" i="1"/>
  <c r="AB140" i="1" s="1"/>
  <c r="U152" i="1"/>
  <c r="T162" i="1"/>
  <c r="R174" i="1"/>
  <c r="U162" i="1"/>
  <c r="AI167" i="1" l="1"/>
  <c r="AJ167" i="1" s="1"/>
  <c r="U167" i="1"/>
  <c r="U170" i="1" s="1"/>
  <c r="AE167" i="1"/>
  <c r="AF167" i="1" s="1"/>
  <c r="T167" i="1"/>
  <c r="V167" i="1"/>
  <c r="W167" i="1" s="1"/>
  <c r="P134" i="1"/>
  <c r="R132" i="1"/>
  <c r="O181" i="1"/>
  <c r="AE149" i="1"/>
  <c r="S170" i="1"/>
  <c r="V149" i="1"/>
  <c r="W149" i="1" s="1"/>
  <c r="AI149" i="1"/>
  <c r="U149" i="1"/>
  <c r="T149" i="1"/>
  <c r="U126" i="1"/>
  <c r="AA143" i="1"/>
  <c r="AB143" i="1" s="1"/>
  <c r="T143" i="1"/>
  <c r="AF43" i="1"/>
  <c r="AI58" i="1"/>
  <c r="AJ58" i="1" s="1"/>
  <c r="U58" i="1"/>
  <c r="T58" i="1"/>
  <c r="AE58" i="1"/>
  <c r="AF58" i="1" s="1"/>
  <c r="AF12" i="1"/>
  <c r="N181" i="1"/>
  <c r="P64" i="1"/>
  <c r="M73" i="1"/>
  <c r="AE126" i="1"/>
  <c r="AF126" i="1" s="1"/>
  <c r="V142" i="1"/>
  <c r="W142" i="1" s="1"/>
  <c r="T170" i="1"/>
  <c r="U143" i="1"/>
  <c r="R143" i="1"/>
  <c r="Z181" i="1"/>
  <c r="U71" i="1"/>
  <c r="U73" i="1" s="1"/>
  <c r="T71" i="1"/>
  <c r="AB23" i="1"/>
  <c r="AI126" i="1"/>
  <c r="AJ126" i="1" s="1"/>
  <c r="AJ117" i="1"/>
  <c r="H181" i="1"/>
  <c r="AI19" i="1"/>
  <c r="AJ19" i="1" s="1"/>
  <c r="U19" i="1"/>
  <c r="AE19" i="1"/>
  <c r="AF19" i="1" s="1"/>
  <c r="P126" i="1"/>
  <c r="AJ137" i="1"/>
  <c r="AF64" i="1"/>
  <c r="AE73" i="1"/>
  <c r="AF73" i="1" s="1"/>
  <c r="S113" i="1"/>
  <c r="T113" i="1" s="1"/>
  <c r="T84" i="1"/>
  <c r="AE84" i="1"/>
  <c r="U84" i="1"/>
  <c r="U113" i="1" s="1"/>
  <c r="AI84" i="1"/>
  <c r="V170" i="1"/>
  <c r="W170" i="1" s="1"/>
  <c r="G51" i="1"/>
  <c r="G60" i="1" s="1"/>
  <c r="F60" i="1"/>
  <c r="R17" i="1"/>
  <c r="T133" i="1"/>
  <c r="AE133" i="1"/>
  <c r="AF133" i="1" s="1"/>
  <c r="AI133" i="1"/>
  <c r="AJ133" i="1" s="1"/>
  <c r="U133" i="1"/>
  <c r="V126" i="1"/>
  <c r="W126" i="1" s="1"/>
  <c r="M113" i="1"/>
  <c r="P84" i="1"/>
  <c r="P27" i="1"/>
  <c r="M39" i="1"/>
  <c r="R52" i="1"/>
  <c r="M143" i="1"/>
  <c r="M145" i="1" s="1"/>
  <c r="P137" i="1"/>
  <c r="AI169" i="1"/>
  <c r="AJ169" i="1" s="1"/>
  <c r="U169" i="1"/>
  <c r="T169" i="1"/>
  <c r="AE169" i="1"/>
  <c r="AF169" i="1" s="1"/>
  <c r="AA73" i="1"/>
  <c r="AB73" i="1" s="1"/>
  <c r="AB64" i="1"/>
  <c r="AJ12" i="1"/>
  <c r="AI112" i="1"/>
  <c r="AJ112" i="1" s="1"/>
  <c r="U112" i="1"/>
  <c r="AE112" i="1"/>
  <c r="AF112" i="1" s="1"/>
  <c r="V112" i="1"/>
  <c r="W112" i="1" s="1"/>
  <c r="T112" i="1"/>
  <c r="AB125" i="1"/>
  <c r="AA126" i="1"/>
  <c r="AB126" i="1" s="1"/>
  <c r="AF137" i="1"/>
  <c r="AI77" i="1"/>
  <c r="U77" i="1"/>
  <c r="T77" i="1"/>
  <c r="AE77" i="1"/>
  <c r="V77" i="1"/>
  <c r="R113" i="1"/>
  <c r="AB27" i="1"/>
  <c r="AA39" i="1"/>
  <c r="AB39" i="1" s="1"/>
  <c r="V71" i="1"/>
  <c r="W71" i="1" s="1"/>
  <c r="AB60" i="1"/>
  <c r="M60" i="1"/>
  <c r="P43" i="1"/>
  <c r="S174" i="1"/>
  <c r="R177" i="1"/>
  <c r="AA134" i="1"/>
  <c r="V139" i="1"/>
  <c r="W139" i="1" s="1"/>
  <c r="AI139" i="1"/>
  <c r="AJ139" i="1" s="1"/>
  <c r="U139" i="1"/>
  <c r="AE139" i="1"/>
  <c r="AF139" i="1" s="1"/>
  <c r="R59" i="1"/>
  <c r="S59" i="1" s="1"/>
  <c r="V59" i="1" s="1"/>
  <c r="W59" i="1" s="1"/>
  <c r="M23" i="1"/>
  <c r="P12" i="1"/>
  <c r="F39" i="1"/>
  <c r="G29" i="1"/>
  <c r="G39" i="1" s="1"/>
  <c r="G181" i="1" s="1"/>
  <c r="R79" i="1"/>
  <c r="AI21" i="1"/>
  <c r="AJ21" i="1" s="1"/>
  <c r="U21" i="1"/>
  <c r="AE21" i="1"/>
  <c r="AF21" i="1" s="1"/>
  <c r="T21" i="1"/>
  <c r="AA113" i="1"/>
  <c r="AB113" i="1" s="1"/>
  <c r="AB84" i="1"/>
  <c r="V133" i="1"/>
  <c r="W133" i="1" s="1"/>
  <c r="M126" i="1"/>
  <c r="T139" i="1"/>
  <c r="S73" i="1"/>
  <c r="T73" i="1" s="1"/>
  <c r="AI22" i="1"/>
  <c r="AJ22" i="1" s="1"/>
  <c r="U22" i="1"/>
  <c r="AE22" i="1"/>
  <c r="AF22" i="1" s="1"/>
  <c r="T22" i="1"/>
  <c r="AI73" i="1"/>
  <c r="AJ73" i="1" s="1"/>
  <c r="V19" i="1"/>
  <c r="W19" i="1" s="1"/>
  <c r="M181" i="1" l="1"/>
  <c r="AB134" i="1"/>
  <c r="AA145" i="1"/>
  <c r="AB145" i="1" s="1"/>
  <c r="AE143" i="1"/>
  <c r="AF143" i="1" s="1"/>
  <c r="V137" i="1"/>
  <c r="P143" i="1"/>
  <c r="AE174" i="1"/>
  <c r="S177" i="1"/>
  <c r="T177" i="1" s="1"/>
  <c r="AI174" i="1"/>
  <c r="U174" i="1"/>
  <c r="U177" i="1" s="1"/>
  <c r="T174" i="1"/>
  <c r="V174" i="1"/>
  <c r="AI113" i="1"/>
  <c r="AJ113" i="1" s="1"/>
  <c r="AJ84" i="1"/>
  <c r="AI143" i="1"/>
  <c r="AJ143" i="1" s="1"/>
  <c r="T59" i="1"/>
  <c r="U59" i="1"/>
  <c r="AE170" i="1"/>
  <c r="AF170" i="1" s="1"/>
  <c r="AF149" i="1"/>
  <c r="P60" i="1"/>
  <c r="V43" i="1"/>
  <c r="S79" i="1"/>
  <c r="R80" i="1"/>
  <c r="AA181" i="1"/>
  <c r="AB181" i="1" s="1"/>
  <c r="R134" i="1"/>
  <c r="R145" i="1" s="1"/>
  <c r="S132" i="1"/>
  <c r="W77" i="1"/>
  <c r="AF77" i="1"/>
  <c r="S52" i="1"/>
  <c r="R60" i="1"/>
  <c r="F181" i="1"/>
  <c r="AJ77" i="1"/>
  <c r="P39" i="1"/>
  <c r="R27" i="1"/>
  <c r="R23" i="1"/>
  <c r="S17" i="1"/>
  <c r="AF84" i="1"/>
  <c r="AE113" i="1"/>
  <c r="AF113" i="1" s="1"/>
  <c r="P145" i="1"/>
  <c r="P23" i="1"/>
  <c r="P181" i="1" s="1"/>
  <c r="V12" i="1"/>
  <c r="P113" i="1"/>
  <c r="V84" i="1"/>
  <c r="P73" i="1"/>
  <c r="V64" i="1"/>
  <c r="AJ149" i="1"/>
  <c r="AI170" i="1"/>
  <c r="AJ170" i="1" s="1"/>
  <c r="S27" i="1" l="1"/>
  <c r="R39" i="1"/>
  <c r="R181" i="1" s="1"/>
  <c r="AE177" i="1"/>
  <c r="AF177" i="1" s="1"/>
  <c r="AF174" i="1"/>
  <c r="V113" i="1"/>
  <c r="W113" i="1" s="1"/>
  <c r="W84" i="1"/>
  <c r="W12" i="1"/>
  <c r="AI79" i="1"/>
  <c r="U79" i="1"/>
  <c r="U80" i="1" s="1"/>
  <c r="T79" i="1"/>
  <c r="AE79" i="1"/>
  <c r="S80" i="1"/>
  <c r="T80" i="1" s="1"/>
  <c r="V79" i="1"/>
  <c r="V143" i="1"/>
  <c r="W143" i="1" s="1"/>
  <c r="W137" i="1"/>
  <c r="V177" i="1"/>
  <c r="W177" i="1" s="1"/>
  <c r="W174" i="1"/>
  <c r="AI132" i="1"/>
  <c r="U132" i="1"/>
  <c r="U134" i="1" s="1"/>
  <c r="U145" i="1" s="1"/>
  <c r="T132" i="1"/>
  <c r="AE132" i="1"/>
  <c r="S134" i="1"/>
  <c r="V132" i="1"/>
  <c r="W43" i="1"/>
  <c r="V73" i="1"/>
  <c r="W73" i="1" s="1"/>
  <c r="W64" i="1"/>
  <c r="AE52" i="1"/>
  <c r="U52" i="1"/>
  <c r="U60" i="1" s="1"/>
  <c r="AI52" i="1"/>
  <c r="T52" i="1"/>
  <c r="S60" i="1"/>
  <c r="T60" i="1" s="1"/>
  <c r="V52" i="1"/>
  <c r="W52" i="1" s="1"/>
  <c r="AI17" i="1"/>
  <c r="U17" i="1"/>
  <c r="U23" i="1" s="1"/>
  <c r="T17" i="1"/>
  <c r="AE17" i="1"/>
  <c r="S23" i="1"/>
  <c r="V17" i="1"/>
  <c r="W17" i="1" s="1"/>
  <c r="AI177" i="1"/>
  <c r="AJ177" i="1" s="1"/>
  <c r="AJ174" i="1"/>
  <c r="V60" i="1" l="1"/>
  <c r="W60" i="1" s="1"/>
  <c r="S39" i="1"/>
  <c r="T39" i="1" s="1"/>
  <c r="AI27" i="1"/>
  <c r="U27" i="1"/>
  <c r="U39" i="1" s="1"/>
  <c r="T27" i="1"/>
  <c r="AE27" i="1"/>
  <c r="V27" i="1"/>
  <c r="V134" i="1"/>
  <c r="W132" i="1"/>
  <c r="V23" i="1"/>
  <c r="AF17" i="1"/>
  <c r="AE23" i="1"/>
  <c r="S145" i="1"/>
  <c r="T145" i="1" s="1"/>
  <c r="T134" i="1"/>
  <c r="AJ79" i="1"/>
  <c r="AI80" i="1"/>
  <c r="AJ80" i="1" s="1"/>
  <c r="AJ52" i="1"/>
  <c r="AI60" i="1"/>
  <c r="AJ60" i="1" s="1"/>
  <c r="AF132" i="1"/>
  <c r="AE134" i="1"/>
  <c r="U181" i="1"/>
  <c r="AI134" i="1"/>
  <c r="AJ132" i="1"/>
  <c r="S181" i="1"/>
  <c r="T181" i="1" s="1"/>
  <c r="T23" i="1"/>
  <c r="AF52" i="1"/>
  <c r="AE60" i="1"/>
  <c r="AF60" i="1" s="1"/>
  <c r="W79" i="1"/>
  <c r="V80" i="1"/>
  <c r="W80" i="1" s="1"/>
  <c r="AJ17" i="1"/>
  <c r="AI23" i="1"/>
  <c r="AF79" i="1"/>
  <c r="AE80" i="1"/>
  <c r="AF80" i="1" s="1"/>
  <c r="V39" i="1" l="1"/>
  <c r="W39" i="1" s="1"/>
  <c r="W27" i="1"/>
  <c r="AI181" i="1"/>
  <c r="AJ181" i="1" s="1"/>
  <c r="AJ23" i="1"/>
  <c r="AJ134" i="1"/>
  <c r="AI145" i="1"/>
  <c r="AJ145" i="1" s="1"/>
  <c r="AE39" i="1"/>
  <c r="AF39" i="1" s="1"/>
  <c r="AF27" i="1"/>
  <c r="W134" i="1"/>
  <c r="V145" i="1"/>
  <c r="W145" i="1" s="1"/>
  <c r="AE145" i="1"/>
  <c r="AF145" i="1" s="1"/>
  <c r="AF134" i="1"/>
  <c r="AF23" i="1"/>
  <c r="AI39" i="1"/>
  <c r="AJ39" i="1" s="1"/>
  <c r="AJ27" i="1"/>
  <c r="W23" i="1"/>
  <c r="AE181" i="1" l="1"/>
  <c r="AF181" i="1" s="1"/>
  <c r="V181" i="1"/>
  <c r="W18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Tutt</author>
    <author>McKellar, Terri (ASD-W)</author>
  </authors>
  <commentList>
    <comment ref="H12" authorId="0" shapeId="0" xr:uid="{C95804F1-043C-41D0-BF68-BDD8FD1AC3E9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Includes 30 day MAT leaves and certification &amp; experience awards.
</t>
        </r>
      </text>
    </comment>
    <comment ref="C16" authorId="0" shapeId="0" xr:uid="{F5B50D3C-5CA1-46FD-A138-508DCCE9E9CE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Includes travel, meeting expenses, extra- and co-curricular trips, copying, telecom, office &amp; computer supplies, office equipment repair, &amp; classroom equipment.</t>
        </r>
      </text>
    </comment>
    <comment ref="H16" authorId="0" shapeId="0" xr:uid="{A15E0880-596E-4532-B041-EF8B45A08DE8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Includes OE funding &amp; OE Funding for teachers included in District Specific funding.
</t>
        </r>
      </text>
    </comment>
    <comment ref="C17" authorId="0" shapeId="0" xr:uid="{F84418A9-4B60-473E-9F90-7194A480C0F3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Includes instructional materials, textbooks, library materials, and subscriptions.</t>
        </r>
      </text>
    </comment>
    <comment ref="F28" authorId="0" shapeId="0" xr:uid="{217F87AA-9C82-49A9-971E-A4F8B8FFE863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Includes EAs &amp; Student Attendants.
</t>
        </r>
      </text>
    </comment>
    <comment ref="F36" authorId="0" shapeId="0" xr:uid="{8323F02C-3C56-41CE-AD3D-E99835B3400D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Includes SIWs and Behaviour Intervention Mentors.</t>
        </r>
      </text>
    </comment>
    <comment ref="D50" authorId="0" shapeId="0" xr:uid="{55F30FA2-D9FC-4195-998B-0B9FF062392B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School Psychologists, and staff for the Support Services to Education (SSE) &amp; Talk with Me (TWM) programs.</t>
        </r>
      </text>
    </comment>
    <comment ref="O50" authorId="1" shapeId="0" xr:uid="{C5DAF227-3CC7-4259-89F7-984523649289}">
      <text>
        <r>
          <rPr>
            <b/>
            <sz val="9"/>
            <color indexed="81"/>
            <rFont val="Tahoma"/>
            <family val="2"/>
          </rPr>
          <t>McKellar, Terri (ASD-W):</t>
        </r>
        <r>
          <rPr>
            <sz val="9"/>
            <color indexed="81"/>
            <rFont val="Tahoma"/>
            <family val="2"/>
          </rPr>
          <t xml:space="preserve">
est retro NBUPPE</t>
        </r>
      </text>
    </comment>
    <comment ref="H68" authorId="0" shapeId="0" xr:uid="{2E07FC97-A896-4A83-9232-FA978865B392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Includes Nutritional Literacy funding.</t>
        </r>
      </text>
    </comment>
    <comment ref="F84" authorId="0" shapeId="0" xr:uid="{A7D82F08-6CF6-44BC-8DA8-AFA39FDA75F2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Includes Hanwell Park Academy custodians.</t>
        </r>
      </text>
    </comment>
    <comment ref="O84" authorId="1" shapeId="0" xr:uid="{519E3098-6663-4FFC-8835-626D353E95E0}">
      <text>
        <r>
          <rPr>
            <b/>
            <sz val="9"/>
            <color indexed="81"/>
            <rFont val="Tahoma"/>
            <family val="2"/>
          </rPr>
          <t>McKellar, Terri (ASD-W):</t>
        </r>
        <r>
          <rPr>
            <sz val="9"/>
            <color indexed="81"/>
            <rFont val="Tahoma"/>
            <family val="2"/>
          </rPr>
          <t xml:space="preserve">
retro est</t>
        </r>
      </text>
    </comment>
    <comment ref="O89" authorId="1" shapeId="0" xr:uid="{784836BF-4871-49A0-A9FB-F3999D4E3910}">
      <text>
        <r>
          <rPr>
            <b/>
            <sz val="9"/>
            <color indexed="81"/>
            <rFont val="Tahoma"/>
            <family val="2"/>
          </rPr>
          <t>McKellar, Terri (ASD-W):</t>
        </r>
        <r>
          <rPr>
            <sz val="9"/>
            <color indexed="81"/>
            <rFont val="Tahoma"/>
            <family val="2"/>
          </rPr>
          <t xml:space="preserve">
retro est</t>
        </r>
      </text>
    </comment>
    <comment ref="O95" authorId="1" shapeId="0" xr:uid="{7F54D394-3E52-48CC-9D0D-49FB1056E54C}">
      <text>
        <r>
          <rPr>
            <b/>
            <sz val="9"/>
            <color indexed="81"/>
            <rFont val="Tahoma"/>
            <family val="2"/>
          </rPr>
          <t>McKellar, Terri (ASD-W):</t>
        </r>
        <r>
          <rPr>
            <sz val="9"/>
            <color indexed="81"/>
            <rFont val="Tahoma"/>
            <family val="2"/>
          </rPr>
          <t xml:space="preserve">
est inflationary increase in contract</t>
        </r>
      </text>
    </comment>
    <comment ref="O98" authorId="1" shapeId="0" xr:uid="{806E3387-DA87-4E69-9CA4-777B3D6EE9D7}">
      <text>
        <r>
          <rPr>
            <b/>
            <sz val="9"/>
            <color indexed="81"/>
            <rFont val="Tahoma"/>
            <family val="2"/>
          </rPr>
          <t>McKellar, Terri (ASD-W):</t>
        </r>
        <r>
          <rPr>
            <sz val="9"/>
            <color indexed="81"/>
            <rFont val="Tahoma"/>
            <family val="2"/>
          </rPr>
          <t xml:space="preserve">
est inflationary increase in contract</t>
        </r>
      </text>
    </comment>
    <comment ref="O100" authorId="1" shapeId="0" xr:uid="{0DACEFB4-25C1-4EA5-851B-22A07B4832BF}">
      <text>
        <r>
          <rPr>
            <b/>
            <sz val="9"/>
            <color indexed="81"/>
            <rFont val="Tahoma"/>
            <family val="2"/>
          </rPr>
          <t>McKellar, Terri (ASD-W):</t>
        </r>
        <r>
          <rPr>
            <sz val="9"/>
            <color indexed="81"/>
            <rFont val="Tahoma"/>
            <family val="2"/>
          </rPr>
          <t xml:space="preserve">
est inflationary increase fuel costs</t>
        </r>
      </text>
    </comment>
    <comment ref="H101" authorId="0" shapeId="0" xr:uid="{91FB41F7-47D9-43E3-A47E-78E148542EB4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Includes school site remediation funding.</t>
        </r>
      </text>
    </comment>
    <comment ref="O102" authorId="1" shapeId="0" xr:uid="{183DF456-7205-4D6A-B67D-38F193A5EFB3}">
      <text>
        <r>
          <rPr>
            <b/>
            <sz val="9"/>
            <color indexed="81"/>
            <rFont val="Tahoma"/>
            <family val="2"/>
          </rPr>
          <t>McKellar, Terri (ASD-W):</t>
        </r>
        <r>
          <rPr>
            <sz val="9"/>
            <color indexed="81"/>
            <rFont val="Tahoma"/>
            <family val="2"/>
          </rPr>
          <t xml:space="preserve">
est for inflationary increase for heating fuel</t>
        </r>
      </text>
    </comment>
    <comment ref="H117" authorId="0" shapeId="0" xr:uid="{A763D029-AFB9-43B7-96C5-FFD202CE5C63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Includes Bus Driver Coaches.</t>
        </r>
      </text>
    </comment>
    <comment ref="O117" authorId="1" shapeId="0" xr:uid="{2857B9E8-1F06-41C9-AE9B-3B83624A144D}">
      <text>
        <r>
          <rPr>
            <b/>
            <sz val="9"/>
            <color indexed="81"/>
            <rFont val="Tahoma"/>
            <family val="2"/>
          </rPr>
          <t>McKellar, Terri (ASD-W):</t>
        </r>
        <r>
          <rPr>
            <sz val="9"/>
            <color indexed="81"/>
            <rFont val="Tahoma"/>
            <family val="2"/>
          </rPr>
          <t xml:space="preserve">
est retro 1334972</t>
        </r>
      </text>
    </comment>
    <comment ref="O121" authorId="1" shapeId="0" xr:uid="{0163CE9C-AC66-492E-BAD3-F424DDE0ABA2}">
      <text>
        <r>
          <rPr>
            <b/>
            <sz val="9"/>
            <color indexed="81"/>
            <rFont val="Tahoma"/>
            <family val="2"/>
          </rPr>
          <t>McKellar, Terri (ASD-W):</t>
        </r>
        <r>
          <rPr>
            <sz val="9"/>
            <color indexed="81"/>
            <rFont val="Tahoma"/>
            <family val="2"/>
          </rPr>
          <t xml:space="preserve">
est retro</t>
        </r>
      </text>
    </comment>
    <comment ref="O124" authorId="1" shapeId="0" xr:uid="{6B73473D-0C8C-4DF2-BC3A-9A2CB695F7B8}">
      <text>
        <r>
          <rPr>
            <b/>
            <sz val="9"/>
            <color indexed="81"/>
            <rFont val="Tahoma"/>
            <family val="2"/>
          </rPr>
          <t>McKellar, Terri (ASD-W):</t>
        </r>
        <r>
          <rPr>
            <sz val="9"/>
            <color indexed="81"/>
            <rFont val="Tahoma"/>
            <family val="2"/>
          </rPr>
          <t xml:space="preserve">
GPS budget 111200 move to operating.  Est for inflationary fuel costs transfer 761 000</t>
        </r>
      </text>
    </comment>
    <comment ref="C137" authorId="0" shapeId="0" xr:uid="{35AFD411-6EE5-4BDA-BEB8-22AA2163A8FB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Office of the Superintendent and Education Support Centres.</t>
        </r>
      </text>
    </comment>
    <comment ref="F137" authorId="0" shapeId="0" xr:uid="{BF76EAA0-2394-42AB-AD70-0DADC4940ED4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Excludes ITSS staff and   includes Experiential Learning Coordinators,  Occupational Health &amp; Wellness Coordinators, and additional Asst. Transportation Manager.</t>
        </r>
      </text>
    </comment>
    <comment ref="O137" authorId="1" shapeId="0" xr:uid="{4B10B35B-3070-40F8-B6D7-6CF00591C43A}">
      <text>
        <r>
          <rPr>
            <b/>
            <sz val="9"/>
            <color indexed="81"/>
            <rFont val="Tahoma"/>
            <family val="2"/>
          </rPr>
          <t>McKellar, Terri (ASD-W):</t>
        </r>
        <r>
          <rPr>
            <sz val="9"/>
            <color indexed="81"/>
            <rFont val="Tahoma"/>
            <family val="2"/>
          </rPr>
          <t xml:space="preserve">
est retro MNU</t>
        </r>
      </text>
    </comment>
    <comment ref="F138" authorId="0" shapeId="0" xr:uid="{31E96F23-8B34-4DA4-9BDF-1B098FD6CF49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Excludes ITSS staff and   includes Experiential Learning Coordinators,  Occupational Health &amp; Wellness Coordinators.</t>
        </r>
      </text>
    </comment>
    <comment ref="H140" authorId="0" shapeId="0" xr:uid="{6CFC1A52-2CA2-44C7-9A8B-61F561F0F6D4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Includes OHS Committee first aid training, print optimization rate increase funding, and OE for ISD &amp; Experiential Learning Coordinators.</t>
        </r>
      </text>
    </comment>
    <comment ref="H167" authorId="0" shapeId="0" xr:uid="{748BA132-9804-4891-8F9F-FB17C928516B}">
      <text>
        <r>
          <rPr>
            <b/>
            <sz val="9"/>
            <color indexed="81"/>
            <rFont val="Tahoma"/>
            <family val="2"/>
          </rPr>
          <t>Kevin Tutt:</t>
        </r>
        <r>
          <rPr>
            <sz val="9"/>
            <color indexed="81"/>
            <rFont val="Tahoma"/>
            <family val="2"/>
          </rPr>
          <t xml:space="preserve">
Tool allowance, &amp; safety boot allowance.</t>
        </r>
      </text>
    </comment>
  </commentList>
</comments>
</file>

<file path=xl/sharedStrings.xml><?xml version="1.0" encoding="utf-8"?>
<sst xmlns="http://schemas.openxmlformats.org/spreadsheetml/2006/main" count="334" uniqueCount="272">
  <si>
    <t>ANGLOPHONE SCHOOL DISTRICT - WEST</t>
  </si>
  <si>
    <t>2ND QUARTER FINANCIAL REPORT</t>
  </si>
  <si>
    <t>FOR THE YEAR ENDING MARCH 31, 2023</t>
  </si>
  <si>
    <t xml:space="preserve"> </t>
  </si>
  <si>
    <t>Coding</t>
  </si>
  <si>
    <t>Description</t>
  </si>
  <si>
    <t>FTEs</t>
  </si>
  <si>
    <t>Budget</t>
  </si>
  <si>
    <t>Expenses</t>
  </si>
  <si>
    <t>Change</t>
  </si>
  <si>
    <t>Variance</t>
  </si>
  <si>
    <t>Variance Explanation &gt;=$500,000</t>
  </si>
  <si>
    <t>Actual</t>
  </si>
  <si>
    <t>Funded</t>
  </si>
  <si>
    <t>Increase /</t>
  </si>
  <si>
    <t>Original</t>
  </si>
  <si>
    <t>District</t>
  </si>
  <si>
    <t>Quarterly</t>
  </si>
  <si>
    <t xml:space="preserve">Other </t>
  </si>
  <si>
    <t>Oracle</t>
  </si>
  <si>
    <t>Final</t>
  </si>
  <si>
    <t>Year-to-Date</t>
  </si>
  <si>
    <t>Forecast</t>
  </si>
  <si>
    <t>Total</t>
  </si>
  <si>
    <t>% Spent</t>
  </si>
  <si>
    <t>from last</t>
  </si>
  <si>
    <t>Amount</t>
  </si>
  <si>
    <t>%</t>
  </si>
  <si>
    <t>Staffing changes, vacancies, replacement policy changes, consumption changes,</t>
  </si>
  <si>
    <t>(Decrease)</t>
  </si>
  <si>
    <t>Funding</t>
  </si>
  <si>
    <t>Expenditure</t>
  </si>
  <si>
    <t>Transfers</t>
  </si>
  <si>
    <t xml:space="preserve">Transfers </t>
  </si>
  <si>
    <t>to-Date</t>
  </si>
  <si>
    <t>Financial</t>
  </si>
  <si>
    <t>price changes, in-year contract additions</t>
  </si>
  <si>
    <t>2021-22</t>
  </si>
  <si>
    <t>$ Change</t>
  </si>
  <si>
    <t>% Change</t>
  </si>
  <si>
    <t>2019/20</t>
  </si>
  <si>
    <t>2018/19</t>
  </si>
  <si>
    <t>Plan</t>
  </si>
  <si>
    <t>Received</t>
  </si>
  <si>
    <t>Pending</t>
  </si>
  <si>
    <t>Report</t>
  </si>
  <si>
    <t>INSTRUCTION &amp; SCHOOL SERVICES</t>
  </si>
  <si>
    <t>P71100-3431</t>
  </si>
  <si>
    <t>Teacher Salaries</t>
  </si>
  <si>
    <t>Apr.-Aug.</t>
  </si>
  <si>
    <t>Sep.-Mar.</t>
  </si>
  <si>
    <t>P71100-3467</t>
  </si>
  <si>
    <t>Supply Teachers</t>
  </si>
  <si>
    <r>
      <t>Supply Teachers -</t>
    </r>
    <r>
      <rPr>
        <sz val="8"/>
        <rFont val="Bookman Old Style"/>
        <family val="1"/>
      </rPr>
      <t xml:space="preserve"> Covid 19 Pandemic</t>
    </r>
  </si>
  <si>
    <t>P71100-4904</t>
  </si>
  <si>
    <t>School Operating Expenses</t>
  </si>
  <si>
    <t>P71100-5189</t>
  </si>
  <si>
    <t>Instructional Materials</t>
  </si>
  <si>
    <t>District Office Expenses Lead travel</t>
  </si>
  <si>
    <t>P72203-3431</t>
  </si>
  <si>
    <t>Teacher Educational Leaves</t>
  </si>
  <si>
    <t>P72204</t>
  </si>
  <si>
    <t>PD</t>
  </si>
  <si>
    <t>P72209-5189</t>
  </si>
  <si>
    <t>Teachers' Working Conditions Fund</t>
  </si>
  <si>
    <t>P75200-3451</t>
  </si>
  <si>
    <t>Co/Extra Curricular Trips</t>
  </si>
  <si>
    <t>TOTAL INSTRUCTION &amp; SCHOOL SERVICES</t>
  </si>
  <si>
    <t>EDUCATION &amp; SUPPORT SERVICES</t>
  </si>
  <si>
    <t>P71300-4904</t>
  </si>
  <si>
    <t>Operating Expenses</t>
  </si>
  <si>
    <t>P72301-3431</t>
  </si>
  <si>
    <t>Educational Assistant (EA) Wages</t>
  </si>
  <si>
    <t>P72301-3451</t>
  </si>
  <si>
    <t>EA Casual Pay</t>
  </si>
  <si>
    <t>P72301-3466</t>
  </si>
  <si>
    <t>EA Replacement Costs</t>
  </si>
  <si>
    <r>
      <t xml:space="preserve">EA Replacement Costs - </t>
    </r>
    <r>
      <rPr>
        <sz val="8"/>
        <rFont val="Bookman Old Style"/>
        <family val="1"/>
      </rPr>
      <t>Covid-19 Pandemic</t>
    </r>
  </si>
  <si>
    <t>P72301-xxxx</t>
  </si>
  <si>
    <t>Covid Expenses</t>
  </si>
  <si>
    <t>P73101-3451</t>
  </si>
  <si>
    <t>Tutor Support</t>
  </si>
  <si>
    <t>P73301-3451</t>
  </si>
  <si>
    <t>Home/Hospital Tutoring</t>
  </si>
  <si>
    <t>P73902-3431</t>
  </si>
  <si>
    <t>Positive Learning Environment</t>
  </si>
  <si>
    <t>P73902-3451</t>
  </si>
  <si>
    <t>PLEP Casual Pay</t>
  </si>
  <si>
    <t>TOTAL EDUCATION &amp; SUPPORT SERVICES</t>
  </si>
  <si>
    <t>SCHOOL MANAGEMENT &amp; SUPPORT</t>
  </si>
  <si>
    <t>P72100-3431</t>
  </si>
  <si>
    <t>School Administrative Assistant (SAA) Wages</t>
  </si>
  <si>
    <t>P72100-3451</t>
  </si>
  <si>
    <t>SAA Casual Pay</t>
  </si>
  <si>
    <t>P72100-3466</t>
  </si>
  <si>
    <t>SAA Replacement Costs</t>
  </si>
  <si>
    <r>
      <t xml:space="preserve">SAA Replacement Costs - </t>
    </r>
    <r>
      <rPr>
        <sz val="8"/>
        <rFont val="Bookman Old Style"/>
        <family val="1"/>
      </rPr>
      <t>Covid 19 pendemic</t>
    </r>
  </si>
  <si>
    <t>P72100-5739</t>
  </si>
  <si>
    <t>School Office &amp; Telephones</t>
  </si>
  <si>
    <t>P72100-xxxx</t>
  </si>
  <si>
    <t>P72201-3431</t>
  </si>
  <si>
    <t>SSE / Talk with Me (TWM) Salaries</t>
  </si>
  <si>
    <t>P72201-4904</t>
  </si>
  <si>
    <t>SSE / TWM Operating Expenses</t>
  </si>
  <si>
    <t>P72202-3431</t>
  </si>
  <si>
    <t>Library Assistant (LA) Wages</t>
  </si>
  <si>
    <t>P72202-3451</t>
  </si>
  <si>
    <t>LA Casual Pay</t>
  </si>
  <si>
    <t>P72202-3466</t>
  </si>
  <si>
    <t>LA Replacement Costs</t>
  </si>
  <si>
    <t>P72202-5189</t>
  </si>
  <si>
    <t>LA resources (Public libraries)</t>
  </si>
  <si>
    <t>P72205-3467</t>
  </si>
  <si>
    <t>EECD Organized P.D. &amp; Meetings</t>
  </si>
  <si>
    <t>P72200-P72300</t>
  </si>
  <si>
    <t>Other Support Services</t>
  </si>
  <si>
    <t>TOTAL SCHOOL MANAGEMENT &amp; SUPPORT</t>
  </si>
  <si>
    <t>PROGRAMS</t>
  </si>
  <si>
    <t>P72211-3431</t>
  </si>
  <si>
    <t>Community Schools Coordinator Salaries</t>
  </si>
  <si>
    <t>P72211-4904</t>
  </si>
  <si>
    <t>Community Schools Operating Expenses</t>
  </si>
  <si>
    <t>P73114-5189</t>
  </si>
  <si>
    <t>Nutritional Literacy Funding</t>
  </si>
  <si>
    <t>P73114-5241</t>
  </si>
  <si>
    <t>Healthy Minds</t>
  </si>
  <si>
    <t>P73302-3451</t>
  </si>
  <si>
    <t>EAL Tutoring</t>
  </si>
  <si>
    <t>P73500-3431</t>
  </si>
  <si>
    <t>First Nations Education</t>
  </si>
  <si>
    <t>P72405-P73913</t>
  </si>
  <si>
    <t>Other Programs (includes Adm mtgs)</t>
  </si>
  <si>
    <t>P73914-3431</t>
  </si>
  <si>
    <t>Youth Futures</t>
  </si>
  <si>
    <t>TOTAL PROGRAMS</t>
  </si>
  <si>
    <t>INFORMATION TECHNOLOGY</t>
  </si>
  <si>
    <t>P72402-3431</t>
  </si>
  <si>
    <t>I.T. Technician Salaries</t>
  </si>
  <si>
    <t>P72402-6071</t>
  </si>
  <si>
    <t>TOTAL INFORMATION TECHNOLOGY</t>
  </si>
  <si>
    <t>FACILITIES</t>
  </si>
  <si>
    <t>P74100-3431</t>
  </si>
  <si>
    <t>Custodial &amp; Maintenance Wages</t>
  </si>
  <si>
    <t>P74100-3432</t>
  </si>
  <si>
    <t>Overtime Pay</t>
  </si>
  <si>
    <t>P74100-3435</t>
  </si>
  <si>
    <t>Night &amp; split shift premiums</t>
  </si>
  <si>
    <t>P74100-3451</t>
  </si>
  <si>
    <t>Casual Pay</t>
  </si>
  <si>
    <t>P74100-3466</t>
  </si>
  <si>
    <t>Custodian Replacement Costs</t>
  </si>
  <si>
    <r>
      <t xml:space="preserve">Custodian &amp; Maint.  Replacement Costs - </t>
    </r>
    <r>
      <rPr>
        <sz val="8"/>
        <rFont val="Bookman Old Style"/>
        <family val="1"/>
      </rPr>
      <t>Covid 19 Pandemic</t>
    </r>
  </si>
  <si>
    <t>P74100-4252</t>
  </si>
  <si>
    <t>Electricity</t>
  </si>
  <si>
    <t>P74100-4255</t>
  </si>
  <si>
    <t>Water &amp; Sewer</t>
  </si>
  <si>
    <t>P74100-4509</t>
  </si>
  <si>
    <t>Other  Operating Expenses</t>
  </si>
  <si>
    <t>P74100-4511</t>
  </si>
  <si>
    <t>Contracted Cleaning</t>
  </si>
  <si>
    <t>P74100-4513</t>
  </si>
  <si>
    <t>Garbage Removal</t>
  </si>
  <si>
    <t>P74100-4514</t>
  </si>
  <si>
    <t>Minor Repairs</t>
  </si>
  <si>
    <t>P74100-4519</t>
  </si>
  <si>
    <t>Other Building Services</t>
  </si>
  <si>
    <t>P74100-4711</t>
  </si>
  <si>
    <t>Snow Removal</t>
  </si>
  <si>
    <t>P74100-4721</t>
  </si>
  <si>
    <t>Facility Rentals</t>
  </si>
  <si>
    <t>P74100-4731</t>
  </si>
  <si>
    <t>Maintenance Vehicle Expenses</t>
  </si>
  <si>
    <t>P74100-4904</t>
  </si>
  <si>
    <t>P74100-5331</t>
  </si>
  <si>
    <t>Heating Fuel</t>
  </si>
  <si>
    <t>P74100-5332</t>
  </si>
  <si>
    <t>Natural Gas</t>
  </si>
  <si>
    <t>P74100-5339</t>
  </si>
  <si>
    <t>Wood Pellets</t>
  </si>
  <si>
    <t>P74100-5413</t>
  </si>
  <si>
    <t>Cleaning Supplies</t>
  </si>
  <si>
    <t>P74100-6479</t>
  </si>
  <si>
    <t xml:space="preserve">Operating Expenses </t>
  </si>
  <si>
    <t>P74100-xxxx</t>
  </si>
  <si>
    <t>P74102-4769</t>
  </si>
  <si>
    <t>P74102-xxxx</t>
  </si>
  <si>
    <t>P74104-5413</t>
  </si>
  <si>
    <t>P74104-xxxx</t>
  </si>
  <si>
    <t>P74103-P74120</t>
  </si>
  <si>
    <t>Maintenance Projects</t>
  </si>
  <si>
    <t>TOTAL FACILITIES</t>
  </si>
  <si>
    <t>TRANSPORTATION</t>
  </si>
  <si>
    <t>P75100-3431</t>
  </si>
  <si>
    <t>Bus Driver Wages</t>
  </si>
  <si>
    <t>P75100-3432</t>
  </si>
  <si>
    <t>P75100-3451</t>
  </si>
  <si>
    <t>P75100-3466</t>
  </si>
  <si>
    <t>Bus Driver Replacement Costs</t>
  </si>
  <si>
    <r>
      <t xml:space="preserve">Bus Driver Replacement Costs - </t>
    </r>
    <r>
      <rPr>
        <sz val="8"/>
        <rFont val="Bookman Old Style"/>
        <family val="1"/>
      </rPr>
      <t>Covid 19 Pandemic</t>
    </r>
  </si>
  <si>
    <t>P75100-4554</t>
  </si>
  <si>
    <t>Contracted Conveyances</t>
  </si>
  <si>
    <t>P75100-4731</t>
  </si>
  <si>
    <t>Bus Operations</t>
  </si>
  <si>
    <t>P75100-4904</t>
  </si>
  <si>
    <t>TOTAL TRANSPORTATION</t>
  </si>
  <si>
    <t>DISTRICT OPERATIONS</t>
  </si>
  <si>
    <t>DECs &amp; PSSCs</t>
  </si>
  <si>
    <t>P76100-3449</t>
  </si>
  <si>
    <t>DEC Compensation</t>
  </si>
  <si>
    <t>P76100-4505</t>
  </si>
  <si>
    <t>DEC / PSSC Operating Expenses</t>
  </si>
  <si>
    <t>TOTAL DECs &amp; PSSCs</t>
  </si>
  <si>
    <t>DISTRICT MANAGEMENT</t>
  </si>
  <si>
    <t>P76200-3431</t>
  </si>
  <si>
    <t>District Management Salaries</t>
  </si>
  <si>
    <t>P76200-3451</t>
  </si>
  <si>
    <t>P76200-4904</t>
  </si>
  <si>
    <t>P76200-xxxx</t>
  </si>
  <si>
    <t>Covid expenses</t>
  </si>
  <si>
    <t>P76600-4801</t>
  </si>
  <si>
    <t>Occupational Health &amp; Safety</t>
  </si>
  <si>
    <t>TOTAL DISTRICT MANAGEMENT</t>
  </si>
  <si>
    <t>TOTAL DISTRICT OPERATIONS</t>
  </si>
  <si>
    <t>BENEFITS</t>
  </si>
  <si>
    <t>P77100-3429</t>
  </si>
  <si>
    <t>Other Pension</t>
  </si>
  <si>
    <t>P77100-3434</t>
  </si>
  <si>
    <t>Standby Pay</t>
  </si>
  <si>
    <t>P77100-3438</t>
  </si>
  <si>
    <t>Retirement Allowances</t>
  </si>
  <si>
    <t>P77100-3441</t>
  </si>
  <si>
    <t>Vacation Pay</t>
  </si>
  <si>
    <r>
      <t xml:space="preserve">Vacation Pay - </t>
    </r>
    <r>
      <rPr>
        <sz val="8"/>
        <rFont val="Bookman Old Style"/>
        <family val="1"/>
      </rPr>
      <t>Covid-19 Pandemic</t>
    </r>
  </si>
  <si>
    <t>P77100-3451</t>
  </si>
  <si>
    <t>P77100-3463</t>
  </si>
  <si>
    <t>Vacation Pay - Casual</t>
  </si>
  <si>
    <t>P77100-3466</t>
  </si>
  <si>
    <t>Worksafe N.B.</t>
  </si>
  <si>
    <t>P77100-3467</t>
  </si>
  <si>
    <t>Supply Days</t>
  </si>
  <si>
    <t>P77100-3601</t>
  </si>
  <si>
    <t>Group Insurance</t>
  </si>
  <si>
    <t>P77100-3602</t>
  </si>
  <si>
    <t>Canada Pension Plan</t>
  </si>
  <si>
    <r>
      <t xml:space="preserve">Canada Pension Plan - </t>
    </r>
    <r>
      <rPr>
        <sz val="8"/>
        <rFont val="Bookman Old Style"/>
        <family val="1"/>
      </rPr>
      <t>Covid-19 Pandemic</t>
    </r>
  </si>
  <si>
    <t>P77100-3603</t>
  </si>
  <si>
    <t>Health &amp; Dental Insurance</t>
  </si>
  <si>
    <t>P77100-3604</t>
  </si>
  <si>
    <t>Employment Insurance</t>
  </si>
  <si>
    <r>
      <t xml:space="preserve">Employment Insurance - </t>
    </r>
    <r>
      <rPr>
        <sz val="8"/>
        <rFont val="Bookman Old Style"/>
        <family val="1"/>
      </rPr>
      <t>Covid-19 Pandemic</t>
    </r>
  </si>
  <si>
    <t>P77100-3704</t>
  </si>
  <si>
    <t>Clothing Allowance</t>
  </si>
  <si>
    <t>P77100-3705</t>
  </si>
  <si>
    <t>Block Heater Allowance</t>
  </si>
  <si>
    <t>P77100-3706</t>
  </si>
  <si>
    <t>Bus Driver Medical</t>
  </si>
  <si>
    <t>P77100-3709</t>
  </si>
  <si>
    <t>Other Benefits</t>
  </si>
  <si>
    <r>
      <t xml:space="preserve">Other Benefits - </t>
    </r>
    <r>
      <rPr>
        <sz val="8"/>
        <rFont val="Bookman Old Style"/>
        <family val="1"/>
      </rPr>
      <t>Covid-19 Pandemic</t>
    </r>
  </si>
  <si>
    <t>P77100-3711</t>
  </si>
  <si>
    <t>Workers Compensation</t>
  </si>
  <si>
    <t>TOTAL BENEFITS</t>
  </si>
  <si>
    <t>PROJECTS</t>
  </si>
  <si>
    <t>P78105-3431</t>
  </si>
  <si>
    <t>Secondments</t>
  </si>
  <si>
    <t>P78195-P78196</t>
  </si>
  <si>
    <t>Add Hr CUPE 1253 and 2745</t>
  </si>
  <si>
    <t>P78100-P78199</t>
  </si>
  <si>
    <t>Other Projects</t>
  </si>
  <si>
    <t>TOTAL PROJECTS</t>
  </si>
  <si>
    <t>Accumulated Operating Surplus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</si>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</sst>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[$-1009]d\-mmm\-yy;@"/>
    <numFmt numFmtId="166" formatCode="##,##0.00_);[Red]\(##,##0.00\);0.00_)"/>
    <numFmt numFmtId="168" formatCode="&quot;$&quot;#,##0"/>
    <numFmt numFmtId="169" formatCode="0.00%_);[Red]\(0.00%\);0.00%_)"/>
    <numFmt numFmtId="170" formatCode="&quot;$&quot;##,##0_);[Red]\(&quot;$&quot;##,##0\);&quot;$&quot;0_)"/>
    <numFmt numFmtId="171" formatCode="##,##0_);[Red]\(##,##0\);0_)"/>
    <numFmt numFmtId="173" formatCode="_-* #,##0\ _$_-;\-* #,##0\ _$_-;_-* &quot;-&quot;??\ _$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Bookman Old Style"/>
      <family val="1"/>
    </font>
    <font>
      <b/>
      <sz val="12"/>
      <name val="Bookman Old Style"/>
      <family val="1"/>
    </font>
    <font>
      <b/>
      <sz val="12"/>
      <color rgb="FFFF0000"/>
      <name val="Bookman Old Style"/>
      <family val="1"/>
    </font>
    <font>
      <sz val="10"/>
      <name val="MS Sans Serif"/>
      <family val="2"/>
    </font>
    <font>
      <b/>
      <i/>
      <sz val="12"/>
      <color indexed="8"/>
      <name val="Arial"/>
      <family val="2"/>
    </font>
    <font>
      <sz val="10"/>
      <color rgb="FFFF0000"/>
      <name val="Bookman Old Style"/>
      <family val="1"/>
    </font>
    <font>
      <b/>
      <i/>
      <sz val="10"/>
      <name val="Bookman Old Style"/>
      <family val="1"/>
    </font>
    <font>
      <sz val="10"/>
      <name val="Arial"/>
      <family val="2"/>
    </font>
    <font>
      <b/>
      <u/>
      <sz val="10"/>
      <name val="Bookman Old Style"/>
      <family val="1"/>
    </font>
    <font>
      <b/>
      <i/>
      <sz val="10"/>
      <color rgb="FFFF0000"/>
      <name val="Bookman Old Style"/>
      <family val="1"/>
    </font>
    <font>
      <i/>
      <sz val="10"/>
      <name val="Bookman Old Style"/>
      <family val="1"/>
    </font>
    <font>
      <b/>
      <i/>
      <u/>
      <sz val="10"/>
      <name val="Bookman Old Style"/>
      <family val="1"/>
    </font>
    <font>
      <b/>
      <sz val="10"/>
      <name val="Arial Black"/>
      <family val="2"/>
    </font>
    <font>
      <i/>
      <sz val="9"/>
      <name val="Bookman Old Style"/>
      <family val="1"/>
    </font>
    <font>
      <sz val="9"/>
      <name val="Bookman Old Style"/>
      <family val="1"/>
    </font>
    <font>
      <b/>
      <sz val="10"/>
      <color rgb="FFFF0000"/>
      <name val="Bookman Old Style"/>
      <family val="1"/>
    </font>
    <font>
      <b/>
      <sz val="8"/>
      <name val="Bookman Old Styl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96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1" fillId="0" borderId="0"/>
  </cellStyleXfs>
  <cellXfs count="41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6" fontId="8" fillId="2" borderId="8" xfId="4" applyNumberFormat="1" applyFont="1" applyFill="1" applyBorder="1" applyAlignment="1">
      <alignment horizontal="center" vertical="center"/>
    </xf>
    <xf numFmtId="6" fontId="8" fillId="2" borderId="9" xfId="4" applyNumberFormat="1" applyFont="1" applyFill="1" applyBorder="1" applyAlignment="1">
      <alignment horizontal="center" vertical="center"/>
    </xf>
    <xf numFmtId="6" fontId="8" fillId="2" borderId="10" xfId="4" applyNumberFormat="1" applyFont="1" applyFill="1" applyBorder="1" applyAlignment="1">
      <alignment horizontal="center" vertical="center"/>
    </xf>
    <xf numFmtId="6" fontId="8" fillId="8" borderId="8" xfId="4" applyNumberFormat="1" applyFont="1" applyFill="1" applyBorder="1" applyAlignment="1">
      <alignment horizontal="center" vertical="center"/>
    </xf>
    <xf numFmtId="6" fontId="8" fillId="8" borderId="9" xfId="4" applyNumberFormat="1" applyFont="1" applyFill="1" applyBorder="1" applyAlignment="1">
      <alignment horizontal="center" vertical="center"/>
    </xf>
    <xf numFmtId="6" fontId="8" fillId="8" borderId="10" xfId="4" applyNumberFormat="1" applyFont="1" applyFill="1" applyBorder="1" applyAlignment="1">
      <alignment horizontal="center" vertical="center"/>
    </xf>
    <xf numFmtId="6" fontId="8" fillId="9" borderId="8" xfId="4" applyNumberFormat="1" applyFont="1" applyFill="1" applyBorder="1" applyAlignment="1">
      <alignment horizontal="center" vertical="center"/>
    </xf>
    <xf numFmtId="6" fontId="8" fillId="9" borderId="9" xfId="4" applyNumberFormat="1" applyFont="1" applyFill="1" applyBorder="1" applyAlignment="1">
      <alignment horizontal="center" vertical="center"/>
    </xf>
    <xf numFmtId="6" fontId="8" fillId="9" borderId="10" xfId="4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8" borderId="14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10" borderId="0" xfId="0" applyNumberFormat="1" applyFont="1" applyFill="1" applyAlignment="1">
      <alignment horizontal="center"/>
    </xf>
    <xf numFmtId="49" fontId="3" fillId="5" borderId="0" xfId="0" applyNumberFormat="1" applyFont="1" applyFill="1" applyAlignment="1">
      <alignment horizontal="center"/>
    </xf>
    <xf numFmtId="49" fontId="3" fillId="11" borderId="0" xfId="0" applyNumberFormat="1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6" fontId="8" fillId="2" borderId="14" xfId="4" applyNumberFormat="1" applyFont="1" applyFill="1" applyBorder="1" applyAlignment="1">
      <alignment horizontal="center" vertical="center"/>
    </xf>
    <xf numFmtId="6" fontId="8" fillId="2" borderId="16" xfId="4" applyNumberFormat="1" applyFont="1" applyFill="1" applyBorder="1" applyAlignment="1">
      <alignment horizontal="center" vertical="center"/>
    </xf>
    <xf numFmtId="6" fontId="8" fillId="2" borderId="15" xfId="4" applyNumberFormat="1" applyFont="1" applyFill="1" applyBorder="1" applyAlignment="1">
      <alignment horizontal="center" vertical="center"/>
    </xf>
    <xf numFmtId="6" fontId="8" fillId="8" borderId="14" xfId="4" applyNumberFormat="1" applyFont="1" applyFill="1" applyBorder="1" applyAlignment="1">
      <alignment horizontal="center" vertical="center"/>
    </xf>
    <xf numFmtId="6" fontId="8" fillId="8" borderId="16" xfId="4" applyNumberFormat="1" applyFont="1" applyFill="1" applyBorder="1" applyAlignment="1">
      <alignment horizontal="center" vertical="center"/>
    </xf>
    <xf numFmtId="6" fontId="8" fillId="8" borderId="15" xfId="4" applyNumberFormat="1" applyFont="1" applyFill="1" applyBorder="1" applyAlignment="1">
      <alignment horizontal="center" vertical="center"/>
    </xf>
    <xf numFmtId="6" fontId="8" fillId="9" borderId="14" xfId="4" applyNumberFormat="1" applyFont="1" applyFill="1" applyBorder="1" applyAlignment="1">
      <alignment horizontal="center" vertical="center"/>
    </xf>
    <xf numFmtId="6" fontId="8" fillId="9" borderId="16" xfId="4" applyNumberFormat="1" applyFont="1" applyFill="1" applyBorder="1" applyAlignment="1">
      <alignment horizontal="center" vertical="center"/>
    </xf>
    <xf numFmtId="6" fontId="8" fillId="9" borderId="15" xfId="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7" borderId="14" xfId="0" applyNumberFormat="1" applyFont="1" applyFill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" fillId="1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165" fontId="3" fillId="9" borderId="14" xfId="5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13" fontId="8" fillId="2" borderId="14" xfId="4" quotePrefix="1" applyNumberFormat="1" applyFont="1" applyFill="1" applyBorder="1" applyAlignment="1">
      <alignment horizontal="center" vertical="center"/>
    </xf>
    <xf numFmtId="13" fontId="8" fillId="2" borderId="16" xfId="4" quotePrefix="1" applyNumberFormat="1" applyFont="1" applyFill="1" applyBorder="1" applyAlignment="1">
      <alignment horizontal="center" vertical="center"/>
    </xf>
    <xf numFmtId="13" fontId="8" fillId="2" borderId="15" xfId="4" quotePrefix="1" applyNumberFormat="1" applyFont="1" applyFill="1" applyBorder="1" applyAlignment="1">
      <alignment horizontal="center" vertical="center"/>
    </xf>
    <xf numFmtId="13" fontId="8" fillId="8" borderId="14" xfId="4" quotePrefix="1" applyNumberFormat="1" applyFont="1" applyFill="1" applyBorder="1" applyAlignment="1">
      <alignment horizontal="center" vertical="center"/>
    </xf>
    <xf numFmtId="13" fontId="8" fillId="8" borderId="16" xfId="4" quotePrefix="1" applyNumberFormat="1" applyFont="1" applyFill="1" applyBorder="1" applyAlignment="1">
      <alignment horizontal="center" vertical="center"/>
    </xf>
    <xf numFmtId="13" fontId="8" fillId="8" borderId="15" xfId="4" quotePrefix="1" applyNumberFormat="1" applyFont="1" applyFill="1" applyBorder="1" applyAlignment="1">
      <alignment horizontal="center" vertical="center"/>
    </xf>
    <xf numFmtId="13" fontId="8" fillId="9" borderId="14" xfId="4" quotePrefix="1" applyNumberFormat="1" applyFont="1" applyFill="1" applyBorder="1" applyAlignment="1">
      <alignment horizontal="center" vertical="center"/>
    </xf>
    <xf numFmtId="13" fontId="8" fillId="9" borderId="16" xfId="4" quotePrefix="1" applyNumberFormat="1" applyFont="1" applyFill="1" applyBorder="1" applyAlignment="1">
      <alignment horizontal="center" vertical="center"/>
    </xf>
    <xf numFmtId="13" fontId="8" fillId="9" borderId="15" xfId="4" quotePrefix="1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7" xfId="0" applyFont="1" applyBorder="1"/>
    <xf numFmtId="165" fontId="3" fillId="7" borderId="18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8" borderId="18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165" fontId="3" fillId="0" borderId="18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5" borderId="2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3" fillId="2" borderId="18" xfId="0" applyFont="1" applyFill="1" applyBorder="1"/>
    <xf numFmtId="0" fontId="3" fillId="2" borderId="21" xfId="0" applyFont="1" applyFill="1" applyBorder="1"/>
    <xf numFmtId="0" fontId="3" fillId="2" borderId="17" xfId="0" applyFont="1" applyFill="1" applyBorder="1"/>
    <xf numFmtId="0" fontId="3" fillId="8" borderId="18" xfId="0" applyFont="1" applyFill="1" applyBorder="1"/>
    <xf numFmtId="0" fontId="3" fillId="8" borderId="21" xfId="0" applyFont="1" applyFill="1" applyBorder="1"/>
    <xf numFmtId="0" fontId="3" fillId="8" borderId="17" xfId="0" applyFont="1" applyFill="1" applyBorder="1"/>
    <xf numFmtId="0" fontId="3" fillId="9" borderId="18" xfId="0" applyFont="1" applyFill="1" applyBorder="1"/>
    <xf numFmtId="0" fontId="3" fillId="9" borderId="21" xfId="0" applyFont="1" applyFill="1" applyBorder="1"/>
    <xf numFmtId="0" fontId="3" fillId="9" borderId="17" xfId="0" applyFont="1" applyFill="1" applyBorder="1"/>
    <xf numFmtId="0" fontId="3" fillId="0" borderId="8" xfId="0" applyFont="1" applyBorder="1"/>
    <xf numFmtId="0" fontId="3" fillId="0" borderId="10" xfId="0" applyFont="1" applyBorder="1"/>
    <xf numFmtId="0" fontId="3" fillId="0" borderId="14" xfId="0" applyFont="1" applyBorder="1"/>
    <xf numFmtId="0" fontId="2" fillId="0" borderId="14" xfId="0" applyFont="1" applyBorder="1"/>
    <xf numFmtId="0" fontId="11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16" xfId="0" applyFont="1" applyBorder="1"/>
    <xf numFmtId="0" fontId="3" fillId="0" borderId="15" xfId="0" applyFont="1" applyBorder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4" fontId="3" fillId="7" borderId="14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168" fontId="3" fillId="0" borderId="14" xfId="1" applyNumberFormat="1" applyFont="1" applyFill="1" applyBorder="1" applyAlignment="1" applyProtection="1">
      <alignment horizontal="right" vertical="center"/>
    </xf>
    <xf numFmtId="168" fontId="3" fillId="0" borderId="0" xfId="1" applyNumberFormat="1" applyFont="1" applyFill="1" applyBorder="1" applyAlignment="1" applyProtection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/>
    <xf numFmtId="169" fontId="11" fillId="0" borderId="0" xfId="3" applyNumberFormat="1" applyFont="1" applyFill="1" applyBorder="1" applyAlignment="1">
      <alignment horizontal="right" vertical="center"/>
    </xf>
    <xf numFmtId="6" fontId="3" fillId="0" borderId="14" xfId="0" applyNumberFormat="1" applyFont="1" applyBorder="1" applyAlignment="1">
      <alignment horizontal="right" vertical="center"/>
    </xf>
    <xf numFmtId="169" fontId="3" fillId="0" borderId="15" xfId="3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right" vertical="center"/>
    </xf>
    <xf numFmtId="17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38" fontId="3" fillId="0" borderId="0" xfId="1" applyNumberFormat="1" applyFont="1" applyFill="1" applyBorder="1" applyAlignment="1" applyProtection="1">
      <alignment horizontal="right" vertical="center"/>
    </xf>
    <xf numFmtId="170" fontId="3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vertical="center"/>
    </xf>
    <xf numFmtId="38" fontId="3" fillId="0" borderId="0" xfId="1" applyNumberFormat="1" applyFont="1" applyFill="1" applyBorder="1" applyAlignment="1" applyProtection="1">
      <alignment vertical="center"/>
    </xf>
    <xf numFmtId="171" fontId="3" fillId="0" borderId="0" xfId="0" applyNumberFormat="1" applyFont="1" applyAlignment="1">
      <alignment vertical="top"/>
    </xf>
    <xf numFmtId="37" fontId="3" fillId="0" borderId="14" xfId="1" applyNumberFormat="1" applyFont="1" applyFill="1" applyBorder="1" applyAlignment="1" applyProtection="1">
      <alignment vertical="center"/>
    </xf>
    <xf numFmtId="37" fontId="3" fillId="0" borderId="0" xfId="1" applyNumberFormat="1" applyFont="1" applyFill="1" applyBorder="1" applyAlignment="1" applyProtection="1">
      <alignment vertical="top"/>
    </xf>
    <xf numFmtId="38" fontId="3" fillId="0" borderId="0" xfId="1" applyNumberFormat="1" applyFont="1" applyFill="1" applyBorder="1" applyAlignment="1" applyProtection="1">
      <alignment vertical="top"/>
    </xf>
    <xf numFmtId="169" fontId="11" fillId="0" borderId="0" xfId="3" applyNumberFormat="1" applyFont="1" applyFill="1" applyBorder="1" applyAlignment="1">
      <alignment horizontal="right"/>
    </xf>
    <xf numFmtId="171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71" fontId="3" fillId="0" borderId="16" xfId="0" applyNumberFormat="1" applyFont="1" applyBorder="1" applyAlignment="1">
      <alignment vertical="center"/>
    </xf>
    <xf numFmtId="0" fontId="3" fillId="12" borderId="0" xfId="0" applyFont="1" applyFill="1" applyAlignment="1">
      <alignment horizontal="left" vertical="center"/>
    </xf>
    <xf numFmtId="0" fontId="3" fillId="12" borderId="0" xfId="0" applyFont="1" applyFill="1" applyAlignment="1">
      <alignment vertical="center"/>
    </xf>
    <xf numFmtId="4" fontId="3" fillId="12" borderId="14" xfId="0" applyNumberFormat="1" applyFont="1" applyFill="1" applyBorder="1" applyAlignment="1">
      <alignment vertical="center"/>
    </xf>
    <xf numFmtId="4" fontId="3" fillId="12" borderId="0" xfId="0" applyNumberFormat="1" applyFont="1" applyFill="1" applyAlignment="1">
      <alignment vertical="center"/>
    </xf>
    <xf numFmtId="4" fontId="3" fillId="12" borderId="15" xfId="0" applyNumberFormat="1" applyFont="1" applyFill="1" applyBorder="1" applyAlignment="1">
      <alignment vertical="center"/>
    </xf>
    <xf numFmtId="3" fontId="3" fillId="12" borderId="14" xfId="0" applyNumberFormat="1" applyFont="1" applyFill="1" applyBorder="1" applyAlignment="1">
      <alignment vertical="center"/>
    </xf>
    <xf numFmtId="38" fontId="3" fillId="12" borderId="0" xfId="1" applyNumberFormat="1" applyFont="1" applyFill="1" applyBorder="1" applyAlignment="1" applyProtection="1">
      <alignment vertical="center"/>
    </xf>
    <xf numFmtId="171" fontId="3" fillId="12" borderId="0" xfId="0" applyNumberFormat="1" applyFont="1" applyFill="1" applyAlignment="1">
      <alignment vertical="top"/>
    </xf>
    <xf numFmtId="0" fontId="3" fillId="12" borderId="0" xfId="0" applyFont="1" applyFill="1"/>
    <xf numFmtId="38" fontId="3" fillId="12" borderId="0" xfId="1" applyNumberFormat="1" applyFont="1" applyFill="1" applyBorder="1" applyAlignment="1" applyProtection="1">
      <alignment horizontal="right" vertical="center"/>
    </xf>
    <xf numFmtId="37" fontId="3" fillId="12" borderId="14" xfId="1" applyNumberFormat="1" applyFont="1" applyFill="1" applyBorder="1" applyAlignment="1" applyProtection="1">
      <alignment vertical="center"/>
    </xf>
    <xf numFmtId="37" fontId="3" fillId="12" borderId="0" xfId="1" applyNumberFormat="1" applyFont="1" applyFill="1" applyBorder="1" applyAlignment="1" applyProtection="1">
      <alignment vertical="center"/>
    </xf>
    <xf numFmtId="38" fontId="3" fillId="12" borderId="0" xfId="1" applyNumberFormat="1" applyFont="1" applyFill="1" applyBorder="1" applyAlignment="1" applyProtection="1">
      <alignment vertical="top"/>
    </xf>
    <xf numFmtId="169" fontId="11" fillId="12" borderId="0" xfId="3" applyNumberFormat="1" applyFont="1" applyFill="1" applyBorder="1" applyAlignment="1">
      <alignment horizontal="right"/>
    </xf>
    <xf numFmtId="171" fontId="3" fillId="12" borderId="14" xfId="0" applyNumberFormat="1" applyFont="1" applyFill="1" applyBorder="1" applyAlignment="1">
      <alignment vertical="top"/>
    </xf>
    <xf numFmtId="169" fontId="3" fillId="12" borderId="15" xfId="3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Border="1" applyAlignment="1">
      <alignment vertical="center"/>
    </xf>
    <xf numFmtId="37" fontId="3" fillId="0" borderId="0" xfId="1" applyNumberFormat="1" applyFont="1" applyFill="1" applyBorder="1" applyAlignment="1" applyProtection="1">
      <alignment vertical="center"/>
    </xf>
    <xf numFmtId="169" fontId="3" fillId="0" borderId="14" xfId="3" applyNumberFormat="1" applyFont="1" applyFill="1" applyBorder="1" applyAlignment="1">
      <alignment horizontal="left" vertical="center" wrapText="1"/>
    </xf>
    <xf numFmtId="169" fontId="3" fillId="0" borderId="7" xfId="3" applyNumberFormat="1" applyFont="1" applyFill="1" applyBorder="1" applyAlignment="1">
      <alignment horizontal="left" vertical="center" wrapText="1"/>
    </xf>
    <xf numFmtId="38" fontId="3" fillId="13" borderId="0" xfId="1" applyNumberFormat="1" applyFont="1" applyFill="1" applyBorder="1" applyAlignment="1" applyProtection="1">
      <alignment vertical="center"/>
    </xf>
    <xf numFmtId="4" fontId="3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7" fontId="3" fillId="0" borderId="0" xfId="1" applyNumberFormat="1" applyFont="1" applyFill="1" applyBorder="1" applyProtection="1"/>
    <xf numFmtId="37" fontId="3" fillId="0" borderId="14" xfId="1" applyNumberFormat="1" applyFont="1" applyFill="1" applyBorder="1" applyProtection="1"/>
    <xf numFmtId="169" fontId="3" fillId="0" borderId="14" xfId="3" applyNumberFormat="1" applyFont="1" applyFill="1" applyBorder="1" applyAlignment="1">
      <alignment horizontal="right"/>
    </xf>
    <xf numFmtId="169" fontId="3" fillId="0" borderId="7" xfId="3" applyNumberFormat="1" applyFont="1" applyFill="1" applyBorder="1" applyAlignment="1">
      <alignment horizontal="right"/>
    </xf>
    <xf numFmtId="3" fontId="3" fillId="0" borderId="14" xfId="0" applyNumberFormat="1" applyFont="1" applyBorder="1"/>
    <xf numFmtId="3" fontId="3" fillId="0" borderId="0" xfId="0" applyNumberFormat="1" applyFont="1" applyAlignment="1">
      <alignment horizontal="right"/>
    </xf>
    <xf numFmtId="4" fontId="3" fillId="0" borderId="22" xfId="1" applyNumberFormat="1" applyFont="1" applyFill="1" applyBorder="1" applyProtection="1"/>
    <xf numFmtId="4" fontId="3" fillId="0" borderId="23" xfId="1" applyNumberFormat="1" applyFont="1" applyFill="1" applyBorder="1" applyProtection="1"/>
    <xf numFmtId="166" fontId="3" fillId="0" borderId="24" xfId="0" applyNumberFormat="1" applyFont="1" applyBorder="1" applyAlignment="1">
      <alignment vertical="top"/>
    </xf>
    <xf numFmtId="168" fontId="3" fillId="0" borderId="23" xfId="1" applyNumberFormat="1" applyFont="1" applyFill="1" applyBorder="1" applyAlignment="1" applyProtection="1">
      <alignment vertical="top"/>
    </xf>
    <xf numFmtId="6" fontId="3" fillId="0" borderId="23" xfId="0" applyNumberFormat="1" applyFont="1" applyBorder="1" applyAlignment="1">
      <alignment vertical="top"/>
    </xf>
    <xf numFmtId="168" fontId="3" fillId="0" borderId="23" xfId="1" applyNumberFormat="1" applyFont="1" applyFill="1" applyBorder="1" applyProtection="1"/>
    <xf numFmtId="38" fontId="3" fillId="0" borderId="23" xfId="1" applyNumberFormat="1" applyFont="1" applyFill="1" applyBorder="1" applyAlignment="1" applyProtection="1">
      <alignment horizontal="right" vertical="center"/>
    </xf>
    <xf numFmtId="168" fontId="3" fillId="0" borderId="22" xfId="1" applyNumberFormat="1" applyFont="1" applyFill="1" applyBorder="1" applyProtection="1"/>
    <xf numFmtId="169" fontId="11" fillId="0" borderId="23" xfId="3" applyNumberFormat="1" applyFont="1" applyFill="1" applyBorder="1" applyAlignment="1">
      <alignment horizontal="right"/>
    </xf>
    <xf numFmtId="170" fontId="3" fillId="0" borderId="22" xfId="0" applyNumberFormat="1" applyFont="1" applyBorder="1"/>
    <xf numFmtId="169" fontId="3" fillId="0" borderId="24" xfId="3" applyNumberFormat="1" applyFont="1" applyFill="1" applyBorder="1" applyAlignment="1">
      <alignment horizontal="right"/>
    </xf>
    <xf numFmtId="169" fontId="3" fillId="0" borderId="22" xfId="3" applyNumberFormat="1" applyFont="1" applyFill="1" applyBorder="1" applyAlignment="1">
      <alignment horizontal="right"/>
    </xf>
    <xf numFmtId="168" fontId="3" fillId="0" borderId="22" xfId="0" applyNumberFormat="1" applyFont="1" applyBorder="1"/>
    <xf numFmtId="6" fontId="3" fillId="0" borderId="25" xfId="0" applyNumberFormat="1" applyFont="1" applyBorder="1"/>
    <xf numFmtId="4" fontId="3" fillId="0" borderId="14" xfId="0" applyNumberFormat="1" applyFont="1" applyBorder="1"/>
    <xf numFmtId="4" fontId="3" fillId="0" borderId="0" xfId="0" applyNumberFormat="1" applyFont="1"/>
    <xf numFmtId="4" fontId="3" fillId="0" borderId="15" xfId="0" applyNumberFormat="1" applyFont="1" applyBorder="1"/>
    <xf numFmtId="168" fontId="3" fillId="0" borderId="0" xfId="1" applyNumberFormat="1" applyFont="1" applyFill="1" applyBorder="1" applyProtection="1"/>
    <xf numFmtId="168" fontId="3" fillId="0" borderId="14" xfId="1" applyNumberFormat="1" applyFont="1" applyFill="1" applyBorder="1" applyProtection="1"/>
    <xf numFmtId="168" fontId="3" fillId="0" borderId="26" xfId="1" applyNumberFormat="1" applyFont="1" applyFill="1" applyBorder="1" applyProtection="1"/>
    <xf numFmtId="170" fontId="3" fillId="0" borderId="14" xfId="0" applyNumberFormat="1" applyFont="1" applyBorder="1"/>
    <xf numFmtId="169" fontId="3" fillId="0" borderId="15" xfId="3" applyNumberFormat="1" applyFont="1" applyBorder="1" applyAlignment="1" applyProtection="1">
      <alignment horizontal="right"/>
    </xf>
    <xf numFmtId="169" fontId="3" fillId="0" borderId="14" xfId="3" applyNumberFormat="1" applyFont="1" applyFill="1" applyBorder="1" applyAlignment="1" applyProtection="1">
      <alignment horizontal="right"/>
    </xf>
    <xf numFmtId="169" fontId="3" fillId="0" borderId="7" xfId="3" applyNumberFormat="1" applyFont="1" applyFill="1" applyBorder="1" applyAlignment="1" applyProtection="1">
      <alignment horizontal="right"/>
    </xf>
    <xf numFmtId="37" fontId="13" fillId="0" borderId="0" xfId="1" applyNumberFormat="1" applyFont="1" applyFill="1" applyBorder="1" applyProtection="1"/>
    <xf numFmtId="37" fontId="13" fillId="0" borderId="0" xfId="1" applyNumberFormat="1" applyFont="1" applyFill="1" applyProtection="1"/>
    <xf numFmtId="37" fontId="13" fillId="0" borderId="0" xfId="0" applyNumberFormat="1" applyFont="1"/>
    <xf numFmtId="37" fontId="13" fillId="0" borderId="14" xfId="0" applyNumberFormat="1" applyFont="1" applyBorder="1"/>
    <xf numFmtId="37" fontId="13" fillId="0" borderId="7" xfId="0" applyNumberFormat="1" applyFont="1" applyBorder="1"/>
    <xf numFmtId="171" fontId="3" fillId="0" borderId="14" xfId="0" applyNumberFormat="1" applyFont="1" applyBorder="1"/>
    <xf numFmtId="169" fontId="3" fillId="0" borderId="15" xfId="3" applyNumberFormat="1" applyFont="1" applyBorder="1" applyAlignment="1">
      <alignment horizontal="right"/>
    </xf>
    <xf numFmtId="37" fontId="3" fillId="0" borderId="0" xfId="1" applyNumberFormat="1" applyFont="1" applyFill="1" applyProtection="1"/>
    <xf numFmtId="37" fontId="3" fillId="0" borderId="0" xfId="0" applyNumberFormat="1" applyFont="1"/>
    <xf numFmtId="37" fontId="3" fillId="0" borderId="14" xfId="0" applyNumberFormat="1" applyFont="1" applyBorder="1"/>
    <xf numFmtId="37" fontId="3" fillId="0" borderId="7" xfId="0" applyNumberFormat="1" applyFont="1" applyBorder="1"/>
    <xf numFmtId="37" fontId="3" fillId="0" borderId="0" xfId="1" applyNumberFormat="1" applyFont="1" applyFill="1" applyAlignment="1" applyProtection="1">
      <alignment vertical="center"/>
    </xf>
    <xf numFmtId="171" fontId="3" fillId="0" borderId="7" xfId="0" applyNumberFormat="1" applyFont="1" applyBorder="1" applyAlignment="1">
      <alignment vertical="top"/>
    </xf>
    <xf numFmtId="171" fontId="3" fillId="0" borderId="14" xfId="0" applyNumberFormat="1" applyFont="1" applyBorder="1" applyAlignment="1">
      <alignment vertical="center"/>
    </xf>
    <xf numFmtId="43" fontId="3" fillId="0" borderId="14" xfId="1" applyFont="1" applyFill="1" applyBorder="1" applyAlignment="1">
      <alignment horizontal="left" vertical="center" wrapText="1"/>
    </xf>
    <xf numFmtId="43" fontId="3" fillId="0" borderId="7" xfId="1" applyFont="1" applyFill="1" applyBorder="1" applyAlignment="1">
      <alignment horizontal="left" vertical="center" wrapText="1"/>
    </xf>
    <xf numFmtId="171" fontId="3" fillId="0" borderId="1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0" fontId="14" fillId="12" borderId="0" xfId="0" applyFont="1" applyFill="1" applyAlignment="1">
      <alignment horizontal="left" vertical="center"/>
    </xf>
    <xf numFmtId="37" fontId="3" fillId="12" borderId="0" xfId="1" applyNumberFormat="1" applyFont="1" applyFill="1" applyAlignment="1" applyProtection="1">
      <alignment vertical="center"/>
    </xf>
    <xf numFmtId="37" fontId="9" fillId="12" borderId="14" xfId="1" applyNumberFormat="1" applyFont="1" applyFill="1" applyBorder="1" applyAlignment="1" applyProtection="1">
      <alignment vertical="center"/>
    </xf>
    <xf numFmtId="169" fontId="11" fillId="12" borderId="0" xfId="3" applyNumberFormat="1" applyFont="1" applyFill="1" applyBorder="1" applyAlignment="1">
      <alignment horizontal="right" vertical="center"/>
    </xf>
    <xf numFmtId="171" fontId="3" fillId="12" borderId="7" xfId="0" applyNumberFormat="1" applyFont="1" applyFill="1" applyBorder="1" applyAlignment="1">
      <alignment vertical="top"/>
    </xf>
    <xf numFmtId="171" fontId="3" fillId="12" borderId="14" xfId="0" applyNumberFormat="1" applyFont="1" applyFill="1" applyBorder="1" applyAlignment="1">
      <alignment vertical="center"/>
    </xf>
    <xf numFmtId="0" fontId="3" fillId="9" borderId="0" xfId="0" applyFont="1" applyFill="1" applyAlignment="1">
      <alignment horizontal="left" vertical="center"/>
    </xf>
    <xf numFmtId="0" fontId="3" fillId="9" borderId="0" xfId="0" applyFont="1" applyFill="1" applyAlignment="1">
      <alignment vertical="center"/>
    </xf>
    <xf numFmtId="4" fontId="3" fillId="9" borderId="14" xfId="0" applyNumberFormat="1" applyFont="1" applyFill="1" applyBorder="1" applyAlignment="1">
      <alignment vertical="center"/>
    </xf>
    <xf numFmtId="4" fontId="3" fillId="9" borderId="0" xfId="0" applyNumberFormat="1" applyFont="1" applyFill="1" applyAlignment="1">
      <alignment vertical="center"/>
    </xf>
    <xf numFmtId="4" fontId="3" fillId="9" borderId="15" xfId="0" applyNumberFormat="1" applyFont="1" applyFill="1" applyBorder="1" applyAlignment="1">
      <alignment vertical="center"/>
    </xf>
    <xf numFmtId="3" fontId="3" fillId="9" borderId="14" xfId="0" applyNumberFormat="1" applyFont="1" applyFill="1" applyBorder="1" applyAlignment="1">
      <alignment vertical="center"/>
    </xf>
    <xf numFmtId="38" fontId="3" fillId="9" borderId="0" xfId="1" applyNumberFormat="1" applyFont="1" applyFill="1" applyBorder="1" applyAlignment="1" applyProtection="1">
      <alignment vertical="center"/>
    </xf>
    <xf numFmtId="171" fontId="3" fillId="9" borderId="0" xfId="0" applyNumberFormat="1" applyFont="1" applyFill="1" applyAlignment="1">
      <alignment vertical="top"/>
    </xf>
    <xf numFmtId="37" fontId="3" fillId="9" borderId="0" xfId="1" applyNumberFormat="1" applyFont="1" applyFill="1" applyAlignment="1" applyProtection="1">
      <alignment vertical="center"/>
    </xf>
    <xf numFmtId="38" fontId="3" fillId="9" borderId="0" xfId="1" applyNumberFormat="1" applyFont="1" applyFill="1" applyBorder="1" applyAlignment="1" applyProtection="1">
      <alignment horizontal="right" vertical="center"/>
    </xf>
    <xf numFmtId="37" fontId="3" fillId="9" borderId="14" xfId="1" applyNumberFormat="1" applyFont="1" applyFill="1" applyBorder="1" applyAlignment="1" applyProtection="1">
      <alignment vertical="center"/>
    </xf>
    <xf numFmtId="37" fontId="3" fillId="9" borderId="0" xfId="1" applyNumberFormat="1" applyFont="1" applyFill="1" applyBorder="1" applyAlignment="1" applyProtection="1">
      <alignment vertical="center"/>
    </xf>
    <xf numFmtId="169" fontId="11" fillId="9" borderId="0" xfId="3" applyNumberFormat="1" applyFont="1" applyFill="1" applyBorder="1" applyAlignment="1">
      <alignment horizontal="right" vertical="center"/>
    </xf>
    <xf numFmtId="171" fontId="3" fillId="9" borderId="7" xfId="0" applyNumberFormat="1" applyFont="1" applyFill="1" applyBorder="1" applyAlignment="1">
      <alignment vertical="top"/>
    </xf>
    <xf numFmtId="171" fontId="3" fillId="9" borderId="14" xfId="0" applyNumberFormat="1" applyFont="1" applyFill="1" applyBorder="1" applyAlignment="1">
      <alignment vertical="center"/>
    </xf>
    <xf numFmtId="169" fontId="3" fillId="9" borderId="15" xfId="3" applyNumberFormat="1" applyFont="1" applyFill="1" applyBorder="1" applyAlignment="1">
      <alignment horizontal="right" vertical="center"/>
    </xf>
    <xf numFmtId="169" fontId="3" fillId="0" borderId="14" xfId="3" applyNumberFormat="1" applyFont="1" applyFill="1" applyBorder="1" applyAlignment="1">
      <alignment horizontal="left"/>
    </xf>
    <xf numFmtId="169" fontId="3" fillId="0" borderId="7" xfId="3" applyNumberFormat="1" applyFont="1" applyFill="1" applyBorder="1" applyAlignment="1">
      <alignment horizontal="left"/>
    </xf>
    <xf numFmtId="171" fontId="3" fillId="0" borderId="16" xfId="0" applyNumberFormat="1" applyFont="1" applyBorder="1" applyAlignment="1">
      <alignment vertical="top"/>
    </xf>
    <xf numFmtId="169" fontId="3" fillId="0" borderId="15" xfId="3" applyNumberFormat="1" applyFont="1" applyFill="1" applyBorder="1" applyAlignment="1">
      <alignment horizontal="right"/>
    </xf>
    <xf numFmtId="166" fontId="3" fillId="0" borderId="15" xfId="0" applyNumberFormat="1" applyFont="1" applyBorder="1" applyAlignment="1">
      <alignment vertical="top"/>
    </xf>
    <xf numFmtId="4" fontId="3" fillId="0" borderId="22" xfId="1" applyNumberFormat="1" applyFont="1" applyBorder="1" applyProtection="1"/>
    <xf numFmtId="170" fontId="3" fillId="0" borderId="23" xfId="0" applyNumberFormat="1" applyFont="1" applyBorder="1" applyAlignment="1">
      <alignment horizontal="right" vertical="center"/>
    </xf>
    <xf numFmtId="170" fontId="3" fillId="0" borderId="27" xfId="0" applyNumberFormat="1" applyFont="1" applyBorder="1"/>
    <xf numFmtId="170" fontId="3" fillId="0" borderId="25" xfId="0" applyNumberFormat="1" applyFont="1" applyBorder="1"/>
    <xf numFmtId="169" fontId="11" fillId="0" borderId="7" xfId="3" applyNumberFormat="1" applyFont="1" applyFill="1" applyBorder="1" applyAlignment="1">
      <alignment horizontal="right" vertical="center"/>
    </xf>
    <xf numFmtId="171" fontId="3" fillId="0" borderId="14" xfId="1" applyNumberFormat="1" applyFont="1" applyFill="1" applyBorder="1" applyProtection="1"/>
    <xf numFmtId="37" fontId="3" fillId="0" borderId="7" xfId="1" applyNumberFormat="1" applyFont="1" applyFill="1" applyBorder="1" applyProtection="1"/>
    <xf numFmtId="168" fontId="3" fillId="0" borderId="14" xfId="0" applyNumberFormat="1" applyFont="1" applyBorder="1" applyAlignment="1">
      <alignment vertical="top"/>
    </xf>
    <xf numFmtId="168" fontId="3" fillId="12" borderId="14" xfId="0" applyNumberFormat="1" applyFont="1" applyFill="1" applyBorder="1" applyAlignment="1">
      <alignment vertical="top"/>
    </xf>
    <xf numFmtId="38" fontId="3" fillId="9" borderId="0" xfId="1" applyNumberFormat="1" applyFont="1" applyFill="1" applyBorder="1" applyAlignment="1" applyProtection="1">
      <alignment vertical="top"/>
    </xf>
    <xf numFmtId="169" fontId="11" fillId="9" borderId="0" xfId="3" applyNumberFormat="1" applyFont="1" applyFill="1" applyBorder="1" applyAlignment="1">
      <alignment horizontal="right"/>
    </xf>
    <xf numFmtId="171" fontId="3" fillId="9" borderId="14" xfId="0" applyNumberFormat="1" applyFont="1" applyFill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168" fontId="3" fillId="0" borderId="0" xfId="1" applyNumberFormat="1" applyFont="1" applyFill="1" applyProtection="1"/>
    <xf numFmtId="37" fontId="3" fillId="0" borderId="0" xfId="1" applyNumberFormat="1" applyFont="1" applyFill="1" applyProtection="1">
      <protection locked="0"/>
    </xf>
    <xf numFmtId="38" fontId="3" fillId="14" borderId="0" xfId="1" applyNumberFormat="1" applyFont="1" applyFill="1" applyBorder="1" applyAlignment="1" applyProtection="1">
      <alignment vertical="center"/>
    </xf>
    <xf numFmtId="168" fontId="3" fillId="0" borderId="14" xfId="1" applyNumberFormat="1" applyFont="1" applyFill="1" applyBorder="1" applyAlignment="1" applyProtection="1">
      <alignment vertical="top"/>
    </xf>
    <xf numFmtId="168" fontId="3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37" fontId="3" fillId="0" borderId="14" xfId="1" applyNumberFormat="1" applyFont="1" applyFill="1" applyBorder="1" applyAlignment="1" applyProtection="1">
      <alignment vertical="top"/>
    </xf>
    <xf numFmtId="44" fontId="3" fillId="0" borderId="14" xfId="2" applyFont="1" applyFill="1" applyBorder="1" applyAlignment="1">
      <alignment horizontal="left" vertical="center" wrapText="1"/>
    </xf>
    <xf numFmtId="44" fontId="3" fillId="0" borderId="7" xfId="2" applyFont="1" applyFill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top"/>
    </xf>
    <xf numFmtId="6" fontId="3" fillId="0" borderId="23" xfId="1" applyNumberFormat="1" applyFont="1" applyFill="1" applyBorder="1" applyProtection="1"/>
    <xf numFmtId="170" fontId="3" fillId="0" borderId="16" xfId="0" applyNumberFormat="1" applyFont="1" applyBorder="1"/>
    <xf numFmtId="37" fontId="3" fillId="0" borderId="14" xfId="1" applyNumberFormat="1" applyFont="1" applyFill="1" applyBorder="1" applyProtection="1">
      <protection locked="0"/>
    </xf>
    <xf numFmtId="37" fontId="3" fillId="0" borderId="0" xfId="1" applyNumberFormat="1" applyFont="1" applyFill="1" applyBorder="1" applyProtection="1">
      <protection locked="0"/>
    </xf>
    <xf numFmtId="37" fontId="3" fillId="0" borderId="28" xfId="1" applyNumberFormat="1" applyFont="1" applyFill="1" applyBorder="1" applyProtection="1"/>
    <xf numFmtId="37" fontId="3" fillId="0" borderId="29" xfId="1" applyNumberFormat="1" applyFont="1" applyFill="1" applyBorder="1" applyProtection="1"/>
    <xf numFmtId="168" fontId="3" fillId="0" borderId="7" xfId="1" applyNumberFormat="1" applyFont="1" applyFill="1" applyBorder="1" applyProtection="1"/>
    <xf numFmtId="37" fontId="3" fillId="0" borderId="23" xfId="1" applyNumberFormat="1" applyFont="1" applyFill="1" applyBorder="1" applyProtection="1">
      <protection locked="0"/>
    </xf>
    <xf numFmtId="168" fontId="3" fillId="0" borderId="0" xfId="1" applyNumberFormat="1" applyFont="1" applyFill="1" applyAlignment="1" applyProtection="1">
      <alignment vertical="center"/>
    </xf>
    <xf numFmtId="168" fontId="3" fillId="14" borderId="0" xfId="1" applyNumberFormat="1" applyFont="1" applyFill="1" applyBorder="1" applyAlignment="1" applyProtection="1">
      <alignment horizontal="right" vertical="center"/>
    </xf>
    <xf numFmtId="168" fontId="3" fillId="0" borderId="14" xfId="1" applyNumberFormat="1" applyFont="1" applyFill="1" applyBorder="1" applyAlignment="1" applyProtection="1">
      <alignment vertical="center"/>
    </xf>
    <xf numFmtId="168" fontId="3" fillId="0" borderId="0" xfId="1" applyNumberFormat="1" applyFont="1" applyFill="1" applyBorder="1" applyAlignment="1" applyProtection="1">
      <alignment vertical="center"/>
    </xf>
    <xf numFmtId="170" fontId="3" fillId="0" borderId="14" xfId="0" applyNumberFormat="1" applyFont="1" applyBorder="1" applyAlignment="1">
      <alignment vertical="center"/>
    </xf>
    <xf numFmtId="170" fontId="3" fillId="0" borderId="16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37" fontId="3" fillId="0" borderId="0" xfId="1" applyNumberFormat="1" applyFont="1" applyFill="1" applyAlignment="1" applyProtection="1">
      <alignment vertical="center"/>
      <protection locked="0"/>
    </xf>
    <xf numFmtId="38" fontId="3" fillId="14" borderId="0" xfId="1" applyNumberFormat="1" applyFont="1" applyFill="1" applyBorder="1" applyAlignment="1" applyProtection="1">
      <alignment horizontal="right" vertical="center"/>
    </xf>
    <xf numFmtId="37" fontId="3" fillId="0" borderId="14" xfId="1" applyNumberFormat="1" applyFont="1" applyFill="1" applyBorder="1" applyAlignment="1" applyProtection="1">
      <alignment vertical="center"/>
      <protection locked="0"/>
    </xf>
    <xf numFmtId="37" fontId="3" fillId="0" borderId="0" xfId="1" applyNumberFormat="1" applyFont="1" applyFill="1" applyBorder="1" applyAlignment="1" applyProtection="1">
      <alignment vertical="center"/>
      <protection locked="0"/>
    </xf>
    <xf numFmtId="37" fontId="3" fillId="12" borderId="0" xfId="1" applyNumberFormat="1" applyFont="1" applyFill="1" applyAlignment="1" applyProtection="1">
      <alignment vertical="center"/>
      <protection locked="0"/>
    </xf>
    <xf numFmtId="37" fontId="9" fillId="12" borderId="14" xfId="1" applyNumberFormat="1" applyFont="1" applyFill="1" applyBorder="1" applyAlignment="1" applyProtection="1">
      <alignment vertical="center"/>
      <protection locked="0"/>
    </xf>
    <xf numFmtId="37" fontId="3" fillId="12" borderId="0" xfId="1" applyNumberFormat="1" applyFont="1" applyFill="1" applyBorder="1" applyAlignment="1" applyProtection="1">
      <alignment vertical="center"/>
      <protection locked="0"/>
    </xf>
    <xf numFmtId="38" fontId="3" fillId="15" borderId="0" xfId="1" applyNumberFormat="1" applyFont="1" applyFill="1" applyBorder="1" applyAlignment="1" applyProtection="1">
      <alignment horizontal="right" vertical="center"/>
    </xf>
    <xf numFmtId="0" fontId="3" fillId="9" borderId="0" xfId="0" applyFont="1" applyFill="1" applyAlignment="1">
      <alignment horizontal="left"/>
    </xf>
    <xf numFmtId="0" fontId="3" fillId="9" borderId="0" xfId="0" applyFont="1" applyFill="1"/>
    <xf numFmtId="4" fontId="3" fillId="9" borderId="14" xfId="0" applyNumberFormat="1" applyFont="1" applyFill="1" applyBorder="1"/>
    <xf numFmtId="4" fontId="3" fillId="9" borderId="0" xfId="0" applyNumberFormat="1" applyFont="1" applyFill="1"/>
    <xf numFmtId="4" fontId="3" fillId="9" borderId="15" xfId="0" applyNumberFormat="1" applyFont="1" applyFill="1" applyBorder="1"/>
    <xf numFmtId="37" fontId="3" fillId="9" borderId="0" xfId="1" applyNumberFormat="1" applyFont="1" applyFill="1" applyProtection="1">
      <protection locked="0"/>
    </xf>
    <xf numFmtId="37" fontId="3" fillId="9" borderId="14" xfId="1" applyNumberFormat="1" applyFont="1" applyFill="1" applyBorder="1" applyProtection="1">
      <protection locked="0"/>
    </xf>
    <xf numFmtId="37" fontId="3" fillId="9" borderId="0" xfId="1" applyNumberFormat="1" applyFont="1" applyFill="1" applyBorder="1" applyProtection="1">
      <protection locked="0"/>
    </xf>
    <xf numFmtId="169" fontId="3" fillId="9" borderId="15" xfId="3" applyNumberFormat="1" applyFont="1" applyFill="1" applyBorder="1" applyAlignment="1">
      <alignment horizontal="right"/>
    </xf>
    <xf numFmtId="0" fontId="2" fillId="9" borderId="0" xfId="0" applyFont="1" applyFill="1" applyAlignment="1">
      <alignment horizontal="left"/>
    </xf>
    <xf numFmtId="3" fontId="3" fillId="9" borderId="14" xfId="0" applyNumberFormat="1" applyFont="1" applyFill="1" applyBorder="1"/>
    <xf numFmtId="0" fontId="10" fillId="0" borderId="0" xfId="0" applyFont="1" applyAlignment="1">
      <alignment horizontal="left"/>
    </xf>
    <xf numFmtId="4" fontId="4" fillId="0" borderId="14" xfId="0" applyNumberFormat="1" applyFont="1" applyBorder="1"/>
    <xf numFmtId="171" fontId="3" fillId="0" borderId="15" xfId="0" applyNumberFormat="1" applyFont="1" applyBorder="1"/>
    <xf numFmtId="171" fontId="3" fillId="0" borderId="7" xfId="0" applyNumberFormat="1" applyFont="1" applyBorder="1"/>
    <xf numFmtId="169" fontId="3" fillId="0" borderId="15" xfId="3" applyNumberFormat="1" applyFont="1" applyFill="1" applyBorder="1" applyAlignment="1">
      <alignment horizontal="right" vertical="top"/>
    </xf>
    <xf numFmtId="0" fontId="3" fillId="12" borderId="0" xfId="0" applyFont="1" applyFill="1" applyAlignment="1">
      <alignment horizontal="left"/>
    </xf>
    <xf numFmtId="4" fontId="3" fillId="12" borderId="14" xfId="0" applyNumberFormat="1" applyFont="1" applyFill="1" applyBorder="1"/>
    <xf numFmtId="4" fontId="3" fillId="12" borderId="0" xfId="0" applyNumberFormat="1" applyFont="1" applyFill="1"/>
    <xf numFmtId="4" fontId="3" fillId="12" borderId="15" xfId="0" applyNumberFormat="1" applyFont="1" applyFill="1" applyBorder="1"/>
    <xf numFmtId="3" fontId="3" fillId="12" borderId="14" xfId="0" applyNumberFormat="1" applyFont="1" applyFill="1" applyBorder="1"/>
    <xf numFmtId="37" fontId="3" fillId="12" borderId="0" xfId="1" applyNumberFormat="1" applyFont="1" applyFill="1" applyProtection="1">
      <protection locked="0"/>
    </xf>
    <xf numFmtId="37" fontId="9" fillId="12" borderId="14" xfId="1" applyNumberFormat="1" applyFont="1" applyFill="1" applyBorder="1" applyProtection="1">
      <protection locked="0"/>
    </xf>
    <xf numFmtId="37" fontId="3" fillId="12" borderId="0" xfId="1" applyNumberFormat="1" applyFont="1" applyFill="1" applyBorder="1" applyProtection="1">
      <protection locked="0"/>
    </xf>
    <xf numFmtId="169" fontId="3" fillId="12" borderId="15" xfId="3" applyNumberFormat="1" applyFont="1" applyFill="1" applyBorder="1" applyAlignment="1">
      <alignment horizontal="right" vertical="top"/>
    </xf>
    <xf numFmtId="4" fontId="3" fillId="0" borderId="14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3" fillId="0" borderId="15" xfId="0" applyNumberFormat="1" applyFont="1" applyBorder="1" applyAlignment="1">
      <alignment horizontal="left" vertical="center"/>
    </xf>
    <xf numFmtId="37" fontId="3" fillId="0" borderId="0" xfId="1" applyNumberFormat="1" applyFont="1" applyFill="1" applyAlignment="1" applyProtection="1">
      <alignment horizontal="right" vertical="center"/>
      <protection locked="0"/>
    </xf>
    <xf numFmtId="37" fontId="3" fillId="0" borderId="14" xfId="1" applyNumberFormat="1" applyFont="1" applyFill="1" applyBorder="1" applyAlignment="1" applyProtection="1">
      <alignment horizontal="right" vertical="center"/>
      <protection locked="0"/>
    </xf>
    <xf numFmtId="37" fontId="3" fillId="0" borderId="0" xfId="1" applyNumberFormat="1" applyFont="1" applyFill="1" applyBorder="1" applyAlignment="1" applyProtection="1">
      <alignment horizontal="right" vertical="center"/>
      <protection locked="0"/>
    </xf>
    <xf numFmtId="169" fontId="3" fillId="0" borderId="29" xfId="3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6" fontId="3" fillId="0" borderId="0" xfId="0" applyNumberFormat="1" applyFont="1"/>
    <xf numFmtId="169" fontId="16" fillId="0" borderId="14" xfId="3" applyNumberFormat="1" applyFont="1" applyFill="1" applyBorder="1" applyAlignment="1">
      <alignment horizontal="center"/>
    </xf>
    <xf numFmtId="169" fontId="16" fillId="0" borderId="7" xfId="3" applyNumberFormat="1" applyFont="1" applyFill="1" applyBorder="1" applyAlignment="1">
      <alignment horizontal="center"/>
    </xf>
    <xf numFmtId="171" fontId="3" fillId="0" borderId="0" xfId="0" applyNumberFormat="1" applyFont="1" applyAlignment="1">
      <alignment horizontal="right" vertical="center"/>
    </xf>
    <xf numFmtId="171" fontId="3" fillId="0" borderId="0" xfId="0" applyNumberFormat="1" applyFont="1"/>
    <xf numFmtId="171" fontId="3" fillId="9" borderId="0" xfId="0" applyNumberFormat="1" applyFont="1" applyFill="1"/>
    <xf numFmtId="3" fontId="3" fillId="9" borderId="0" xfId="0" applyNumberFormat="1" applyFont="1" applyFill="1"/>
    <xf numFmtId="3" fontId="3" fillId="0" borderId="0" xfId="0" applyNumberFormat="1" applyFont="1"/>
    <xf numFmtId="4" fontId="3" fillId="0" borderId="23" xfId="1" applyNumberFormat="1" applyFont="1" applyBorder="1" applyProtection="1"/>
    <xf numFmtId="37" fontId="3" fillId="0" borderId="25" xfId="0" applyNumberFormat="1" applyFont="1" applyBorder="1"/>
    <xf numFmtId="4" fontId="3" fillId="0" borderId="13" xfId="0" applyNumberFormat="1" applyFont="1" applyBorder="1"/>
    <xf numFmtId="37" fontId="9" fillId="0" borderId="0" xfId="0" applyNumberFormat="1" applyFont="1"/>
    <xf numFmtId="37" fontId="9" fillId="0" borderId="14" xfId="0" applyNumberFormat="1" applyFont="1" applyBorder="1"/>
    <xf numFmtId="37" fontId="9" fillId="0" borderId="7" xfId="0" applyNumberFormat="1" applyFont="1" applyBorder="1"/>
    <xf numFmtId="6" fontId="3" fillId="0" borderId="14" xfId="0" applyNumberFormat="1" applyFont="1" applyBorder="1"/>
    <xf numFmtId="37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14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4" fontId="3" fillId="0" borderId="15" xfId="0" applyNumberFormat="1" applyFont="1" applyBorder="1" applyAlignment="1">
      <alignment vertical="top"/>
    </xf>
    <xf numFmtId="37" fontId="3" fillId="0" borderId="14" xfId="1" applyNumberFormat="1" applyFont="1" applyFill="1" applyBorder="1" applyAlignment="1" applyProtection="1">
      <alignment vertical="top"/>
      <protection locked="0"/>
    </xf>
    <xf numFmtId="0" fontId="3" fillId="12" borderId="0" xfId="0" applyFont="1" applyFill="1" applyAlignment="1">
      <alignment horizontal="left" vertical="top"/>
    </xf>
    <xf numFmtId="169" fontId="3" fillId="12" borderId="15" xfId="3" applyNumberFormat="1" applyFont="1" applyFill="1" applyBorder="1" applyAlignment="1">
      <alignment horizontal="right"/>
    </xf>
    <xf numFmtId="37" fontId="3" fillId="0" borderId="0" xfId="1" applyNumberFormat="1" applyFont="1" applyFill="1" applyAlignment="1" applyProtection="1">
      <alignment vertical="top"/>
      <protection locked="0"/>
    </xf>
    <xf numFmtId="0" fontId="3" fillId="12" borderId="0" xfId="0" applyFont="1" applyFill="1" applyAlignment="1">
      <alignment vertical="top"/>
    </xf>
    <xf numFmtId="4" fontId="3" fillId="12" borderId="14" xfId="0" applyNumberFormat="1" applyFont="1" applyFill="1" applyBorder="1" applyAlignment="1">
      <alignment vertical="top"/>
    </xf>
    <xf numFmtId="4" fontId="3" fillId="12" borderId="0" xfId="0" applyNumberFormat="1" applyFont="1" applyFill="1" applyAlignment="1">
      <alignment vertical="top"/>
    </xf>
    <xf numFmtId="4" fontId="3" fillId="12" borderId="15" xfId="0" applyNumberFormat="1" applyFont="1" applyFill="1" applyBorder="1" applyAlignment="1">
      <alignment vertical="top"/>
    </xf>
    <xf numFmtId="3" fontId="3" fillId="12" borderId="14" xfId="0" applyNumberFormat="1" applyFont="1" applyFill="1" applyBorder="1" applyAlignment="1">
      <alignment vertical="top"/>
    </xf>
    <xf numFmtId="37" fontId="3" fillId="12" borderId="0" xfId="1" applyNumberFormat="1" applyFont="1" applyFill="1" applyAlignment="1" applyProtection="1">
      <alignment vertical="top"/>
      <protection locked="0"/>
    </xf>
    <xf numFmtId="37" fontId="9" fillId="12" borderId="14" xfId="1" applyNumberFormat="1" applyFont="1" applyFill="1" applyBorder="1" applyAlignment="1" applyProtection="1">
      <alignment vertical="top"/>
      <protection locked="0"/>
    </xf>
    <xf numFmtId="37" fontId="3" fillId="12" borderId="0" xfId="1" applyNumberFormat="1" applyFont="1" applyFill="1" applyBorder="1" applyAlignment="1" applyProtection="1">
      <alignment vertical="top"/>
      <protection locked="0"/>
    </xf>
    <xf numFmtId="6" fontId="3" fillId="0" borderId="22" xfId="1" applyNumberFormat="1" applyFont="1" applyBorder="1" applyProtection="1"/>
    <xf numFmtId="37" fontId="17" fillId="0" borderId="0" xfId="0" applyNumberFormat="1" applyFont="1"/>
    <xf numFmtId="37" fontId="17" fillId="0" borderId="14" xfId="0" applyNumberFormat="1" applyFont="1" applyBorder="1"/>
    <xf numFmtId="169" fontId="11" fillId="0" borderId="12" xfId="3" applyNumberFormat="1" applyFont="1" applyFill="1" applyBorder="1" applyAlignment="1">
      <alignment horizontal="right"/>
    </xf>
    <xf numFmtId="169" fontId="11" fillId="0" borderId="7" xfId="3" applyNumberFormat="1" applyFont="1" applyFill="1" applyBorder="1" applyAlignment="1">
      <alignment horizontal="right"/>
    </xf>
    <xf numFmtId="171" fontId="17" fillId="0" borderId="14" xfId="0" applyNumberFormat="1" applyFont="1" applyBorder="1"/>
    <xf numFmtId="169" fontId="3" fillId="0" borderId="15" xfId="3" applyNumberFormat="1" applyFont="1" applyFill="1" applyBorder="1"/>
    <xf numFmtId="169" fontId="3" fillId="0" borderId="14" xfId="3" applyNumberFormat="1" applyFont="1" applyFill="1" applyBorder="1"/>
    <xf numFmtId="169" fontId="3" fillId="0" borderId="7" xfId="3" applyNumberFormat="1" applyFont="1" applyFill="1" applyBorder="1"/>
    <xf numFmtId="171" fontId="18" fillId="0" borderId="14" xfId="0" applyNumberFormat="1" applyFont="1" applyBorder="1"/>
    <xf numFmtId="0" fontId="3" fillId="9" borderId="0" xfId="0" applyFont="1" applyFill="1" applyAlignment="1">
      <alignment horizontal="left" vertical="top"/>
    </xf>
    <xf numFmtId="166" fontId="3" fillId="9" borderId="15" xfId="0" applyNumberFormat="1" applyFont="1" applyFill="1" applyBorder="1" applyAlignment="1">
      <alignment horizontal="right" vertical="center"/>
    </xf>
    <xf numFmtId="168" fontId="3" fillId="9" borderId="14" xfId="0" applyNumberFormat="1" applyFont="1" applyFill="1" applyBorder="1" applyAlignment="1">
      <alignment vertical="top"/>
    </xf>
    <xf numFmtId="37" fontId="17" fillId="9" borderId="0" xfId="0" applyNumberFormat="1" applyFont="1" applyFill="1"/>
    <xf numFmtId="168" fontId="3" fillId="9" borderId="0" xfId="1" applyNumberFormat="1" applyFont="1" applyFill="1" applyBorder="1" applyAlignment="1" applyProtection="1">
      <alignment horizontal="right" vertical="center"/>
    </xf>
    <xf numFmtId="37" fontId="3" fillId="9" borderId="0" xfId="1" applyNumberFormat="1" applyFont="1" applyFill="1" applyBorder="1" applyAlignment="1" applyProtection="1">
      <alignment vertical="top"/>
      <protection locked="0"/>
    </xf>
    <xf numFmtId="171" fontId="18" fillId="9" borderId="14" xfId="0" applyNumberFormat="1" applyFont="1" applyFill="1" applyBorder="1"/>
    <xf numFmtId="169" fontId="11" fillId="0" borderId="28" xfId="3" applyNumberFormat="1" applyFont="1" applyFill="1" applyBorder="1" applyAlignment="1">
      <alignment horizontal="right"/>
    </xf>
    <xf numFmtId="4" fontId="3" fillId="0" borderId="14" xfId="1" applyNumberFormat="1" applyFont="1" applyBorder="1" applyProtection="1"/>
    <xf numFmtId="4" fontId="3" fillId="0" borderId="0" xfId="1" applyNumberFormat="1" applyFont="1" applyBorder="1" applyProtection="1"/>
    <xf numFmtId="170" fontId="3" fillId="0" borderId="7" xfId="0" applyNumberFormat="1" applyFont="1" applyBorder="1"/>
    <xf numFmtId="168" fontId="3" fillId="0" borderId="14" xfId="1" applyNumberFormat="1" applyFont="1" applyBorder="1" applyProtection="1"/>
    <xf numFmtId="38" fontId="3" fillId="0" borderId="15" xfId="1" applyNumberFormat="1" applyFont="1" applyFill="1" applyBorder="1" applyAlignment="1" applyProtection="1">
      <alignment horizontal="right" vertical="center"/>
    </xf>
    <xf numFmtId="37" fontId="19" fillId="0" borderId="0" xfId="0" applyNumberFormat="1" applyFont="1"/>
    <xf numFmtId="37" fontId="2" fillId="0" borderId="0" xfId="0" applyNumberFormat="1" applyFont="1"/>
    <xf numFmtId="37" fontId="19" fillId="0" borderId="14" xfId="0" applyNumberFormat="1" applyFont="1" applyBorder="1"/>
    <xf numFmtId="37" fontId="19" fillId="0" borderId="30" xfId="0" applyNumberFormat="1" applyFont="1" applyBorder="1"/>
    <xf numFmtId="4" fontId="3" fillId="0" borderId="31" xfId="1" applyNumberFormat="1" applyFont="1" applyBorder="1" applyProtection="1"/>
    <xf numFmtId="4" fontId="3" fillId="0" borderId="32" xfId="1" applyNumberFormat="1" applyFont="1" applyBorder="1" applyProtection="1"/>
    <xf numFmtId="166" fontId="3" fillId="0" borderId="33" xfId="0" applyNumberFormat="1" applyFont="1" applyBorder="1"/>
    <xf numFmtId="168" fontId="3" fillId="0" borderId="32" xfId="1" applyNumberFormat="1" applyFont="1" applyFill="1" applyBorder="1" applyProtection="1"/>
    <xf numFmtId="170" fontId="3" fillId="0" borderId="32" xfId="0" applyNumberFormat="1" applyFont="1" applyBorder="1" applyAlignment="1">
      <alignment horizontal="right" vertical="center"/>
    </xf>
    <xf numFmtId="6" fontId="3" fillId="0" borderId="32" xfId="1" applyNumberFormat="1" applyFont="1" applyFill="1" applyBorder="1" applyProtection="1"/>
    <xf numFmtId="168" fontId="3" fillId="0" borderId="31" xfId="1" applyNumberFormat="1" applyFont="1" applyFill="1" applyBorder="1" applyProtection="1"/>
    <xf numFmtId="169" fontId="11" fillId="0" borderId="32" xfId="3" applyNumberFormat="1" applyFont="1" applyFill="1" applyBorder="1" applyAlignment="1">
      <alignment horizontal="right"/>
    </xf>
    <xf numFmtId="170" fontId="3" fillId="0" borderId="34" xfId="0" applyNumberFormat="1" applyFont="1" applyBorder="1"/>
    <xf numFmtId="173" fontId="4" fillId="0" borderId="0" xfId="1" applyNumberFormat="1" applyFont="1" applyFill="1" applyProtection="1"/>
    <xf numFmtId="0" fontId="20" fillId="0" borderId="0" xfId="0" applyFont="1"/>
    <xf numFmtId="169" fontId="3" fillId="0" borderId="12" xfId="0" applyNumberFormat="1" applyFont="1" applyBorder="1"/>
    <xf numFmtId="169" fontId="3" fillId="0" borderId="0" xfId="0" applyNumberFormat="1" applyFont="1"/>
    <xf numFmtId="4" fontId="3" fillId="0" borderId="0" xfId="0" applyNumberFormat="1" applyFont="1" applyBorder="1"/>
    <xf numFmtId="169" fontId="3" fillId="0" borderId="0" xfId="3" applyNumberFormat="1" applyFont="1" applyFill="1" applyBorder="1"/>
    <xf numFmtId="4" fontId="3" fillId="16" borderId="25" xfId="0" applyNumberFormat="1" applyFont="1" applyFill="1" applyBorder="1"/>
    <xf numFmtId="37" fontId="17" fillId="0" borderId="25" xfId="0" applyNumberFormat="1" applyFont="1" applyBorder="1"/>
    <xf numFmtId="171" fontId="3" fillId="0" borderId="25" xfId="0" applyNumberFormat="1" applyFont="1" applyBorder="1" applyAlignment="1">
      <alignment vertical="top"/>
    </xf>
    <xf numFmtId="38" fontId="3" fillId="0" borderId="25" xfId="1" applyNumberFormat="1" applyFont="1" applyFill="1" applyBorder="1" applyAlignment="1" applyProtection="1">
      <alignment horizontal="right" vertical="center"/>
    </xf>
    <xf numFmtId="38" fontId="3" fillId="0" borderId="25" xfId="1" applyNumberFormat="1" applyFont="1" applyFill="1" applyBorder="1" applyAlignment="1" applyProtection="1">
      <alignment vertical="top"/>
    </xf>
    <xf numFmtId="171" fontId="17" fillId="0" borderId="25" xfId="0" applyNumberFormat="1" applyFont="1" applyBorder="1"/>
    <xf numFmtId="169" fontId="3" fillId="0" borderId="25" xfId="3" applyNumberFormat="1" applyFont="1" applyFill="1" applyBorder="1"/>
  </cellXfs>
  <cellStyles count="6">
    <cellStyle name="Comma" xfId="1" builtinId="3"/>
    <cellStyle name="Currency" xfId="2" builtinId="4"/>
    <cellStyle name="Currency 2" xfId="4" xr:uid="{8FAD812E-9DC4-4CA2-8859-E2AB3A43845A}"/>
    <cellStyle name="Normal" xfId="0" builtinId="0"/>
    <cellStyle name="Normal 2" xfId="5" xr:uid="{0F0D964A-9E14-4FBC-8C77-FD79E3E60C4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nd%20quarter%20projections%20as%20of%20Sep%2030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Results"/>
      <sheetName val="Quarterly Load"/>
      <sheetName val="Teachers"/>
      <sheetName val="Supply Tchs"/>
      <sheetName val="SAA"/>
      <sheetName val="LA"/>
      <sheetName val="EA"/>
      <sheetName val="SIW"/>
      <sheetName val="SSE"/>
      <sheetName val="Comm Sch"/>
      <sheetName val="Facilities"/>
      <sheetName val="Bus Drivers"/>
      <sheetName val="DO"/>
      <sheetName val="Main Veh"/>
      <sheetName val="Heating Fuel"/>
      <sheetName val="Natural Gas"/>
      <sheetName val="Bus Ops"/>
      <sheetName val="Blue Cross"/>
      <sheetName val="Group Ins"/>
      <sheetName val="VP"/>
      <sheetName val="CPP"/>
      <sheetName val="EI"/>
      <sheetName val="2021-22"/>
      <sheetName val="Actuals 2020-21"/>
    </sheetNames>
    <sheetDataSet>
      <sheetData sheetId="0">
        <row r="12">
          <cell r="Q12">
            <v>70452936.090000004</v>
          </cell>
        </row>
        <row r="14">
          <cell r="Q14">
            <v>2911407.37</v>
          </cell>
        </row>
        <row r="28">
          <cell r="Q28">
            <v>10090541.050000001</v>
          </cell>
        </row>
        <row r="30">
          <cell r="Q30">
            <v>153371.91</v>
          </cell>
        </row>
        <row r="31">
          <cell r="Q31">
            <v>2664173.62</v>
          </cell>
        </row>
        <row r="36">
          <cell r="Q36">
            <v>22163.27</v>
          </cell>
        </row>
        <row r="43">
          <cell r="Q43">
            <v>2232617.69</v>
          </cell>
        </row>
        <row r="45">
          <cell r="Q45">
            <v>75114.12</v>
          </cell>
        </row>
        <row r="46">
          <cell r="Q46">
            <v>164612.01999999999</v>
          </cell>
        </row>
        <row r="50">
          <cell r="Q50">
            <v>2042502.73</v>
          </cell>
        </row>
        <row r="53">
          <cell r="Q53">
            <v>247772.15</v>
          </cell>
        </row>
        <row r="56">
          <cell r="Q56">
            <v>111397.85</v>
          </cell>
        </row>
        <row r="64">
          <cell r="Q64">
            <v>193371.85</v>
          </cell>
        </row>
        <row r="84">
          <cell r="Q84">
            <v>5808543.7199999997</v>
          </cell>
        </row>
        <row r="86">
          <cell r="Q86">
            <v>12129.23</v>
          </cell>
        </row>
        <row r="88">
          <cell r="Q88">
            <v>3715.7</v>
          </cell>
        </row>
        <row r="89">
          <cell r="Q89">
            <v>603950.84</v>
          </cell>
        </row>
        <row r="100">
          <cell r="Q100">
            <v>235668.86</v>
          </cell>
        </row>
        <row r="102">
          <cell r="Q102">
            <v>205949.63</v>
          </cell>
        </row>
        <row r="103">
          <cell r="Q103">
            <v>157960.93</v>
          </cell>
        </row>
        <row r="117">
          <cell r="Q117">
            <v>4400023.0999999996</v>
          </cell>
        </row>
        <row r="119">
          <cell r="Q119">
            <v>54056.68</v>
          </cell>
        </row>
        <row r="121">
          <cell r="Q121">
            <v>560285.55000000005</v>
          </cell>
        </row>
        <row r="124">
          <cell r="Q124">
            <v>2363187.0299999998</v>
          </cell>
        </row>
        <row r="137">
          <cell r="Q137">
            <v>3847549.73</v>
          </cell>
        </row>
        <row r="139">
          <cell r="Q139">
            <v>124309.28</v>
          </cell>
        </row>
        <row r="152">
          <cell r="Q152">
            <v>1495833.72</v>
          </cell>
        </row>
        <row r="158">
          <cell r="Q158">
            <v>113872.72</v>
          </cell>
        </row>
        <row r="159">
          <cell r="Q159">
            <v>5743504.6900000004</v>
          </cell>
        </row>
        <row r="161">
          <cell r="Q161">
            <v>1005004.41</v>
          </cell>
        </row>
        <row r="162">
          <cell r="Q162">
            <v>2099463.98</v>
          </cell>
        </row>
      </sheetData>
      <sheetData sheetId="1" refreshError="1"/>
      <sheetData sheetId="2">
        <row r="18">
          <cell r="H18">
            <v>141843741.82999998</v>
          </cell>
        </row>
      </sheetData>
      <sheetData sheetId="3">
        <row r="20">
          <cell r="P20">
            <v>6264693.6600000001</v>
          </cell>
        </row>
      </sheetData>
      <sheetData sheetId="4">
        <row r="18">
          <cell r="H18">
            <v>4479073.54</v>
          </cell>
        </row>
        <row r="63">
          <cell r="H63">
            <v>105568.65</v>
          </cell>
        </row>
        <row r="83">
          <cell r="H83">
            <v>244003.72</v>
          </cell>
        </row>
      </sheetData>
      <sheetData sheetId="5">
        <row r="18">
          <cell r="I18">
            <v>821808.16</v>
          </cell>
        </row>
        <row r="51">
          <cell r="I51">
            <v>170898.75</v>
          </cell>
        </row>
      </sheetData>
      <sheetData sheetId="6">
        <row r="18">
          <cell r="I18">
            <v>25229757.120000001</v>
          </cell>
        </row>
        <row r="69">
          <cell r="I69">
            <v>216202.37</v>
          </cell>
        </row>
        <row r="114">
          <cell r="I114">
            <v>3608491.7</v>
          </cell>
        </row>
      </sheetData>
      <sheetData sheetId="7">
        <row r="18">
          <cell r="I18">
            <v>1739.49</v>
          </cell>
        </row>
      </sheetData>
      <sheetData sheetId="8">
        <row r="18">
          <cell r="I18">
            <v>4005963.165</v>
          </cell>
        </row>
      </sheetData>
      <sheetData sheetId="9">
        <row r="18">
          <cell r="I18">
            <v>430074.13</v>
          </cell>
        </row>
      </sheetData>
      <sheetData sheetId="10">
        <row r="18">
          <cell r="I18">
            <v>10379869.859999999</v>
          </cell>
        </row>
        <row r="63">
          <cell r="I63">
            <v>52499.29</v>
          </cell>
        </row>
        <row r="123">
          <cell r="I123">
            <v>4795.5300000000007</v>
          </cell>
        </row>
        <row r="143">
          <cell r="I143">
            <v>1322657.74</v>
          </cell>
        </row>
      </sheetData>
      <sheetData sheetId="11">
        <row r="18">
          <cell r="I18">
            <v>8659716.0399999991</v>
          </cell>
        </row>
        <row r="61">
          <cell r="I61">
            <v>115612.06</v>
          </cell>
        </row>
        <row r="83">
          <cell r="I83">
            <v>1181799.6200000001</v>
          </cell>
        </row>
      </sheetData>
      <sheetData sheetId="12">
        <row r="19">
          <cell r="I19">
            <v>6879418.8849999998</v>
          </cell>
        </row>
        <row r="87">
          <cell r="I87">
            <v>62152.42</v>
          </cell>
        </row>
        <row r="108">
          <cell r="I108">
            <v>178502.86</v>
          </cell>
        </row>
      </sheetData>
      <sheetData sheetId="13">
        <row r="31">
          <cell r="O31">
            <v>559061.43999999994</v>
          </cell>
        </row>
      </sheetData>
      <sheetData sheetId="14">
        <row r="38">
          <cell r="AB38">
            <v>1463373.8245520003</v>
          </cell>
        </row>
      </sheetData>
      <sheetData sheetId="15">
        <row r="293">
          <cell r="N293">
            <v>828025.75824090815</v>
          </cell>
        </row>
      </sheetData>
      <sheetData sheetId="16">
        <row r="39">
          <cell r="O39">
            <v>6761740.8159999996</v>
          </cell>
        </row>
      </sheetData>
      <sheetData sheetId="17">
        <row r="15">
          <cell r="I15">
            <v>2380519.58</v>
          </cell>
        </row>
      </sheetData>
      <sheetData sheetId="18">
        <row r="15">
          <cell r="I15">
            <v>271827.71999999997</v>
          </cell>
        </row>
      </sheetData>
      <sheetData sheetId="19">
        <row r="19">
          <cell r="Q19">
            <v>3146903.6900000004</v>
          </cell>
        </row>
      </sheetData>
      <sheetData sheetId="20">
        <row r="20">
          <cell r="Q20">
            <v>9886063.6099999994</v>
          </cell>
        </row>
      </sheetData>
      <sheetData sheetId="21">
        <row r="19">
          <cell r="Q19">
            <v>3635284.4999999995</v>
          </cell>
        </row>
      </sheetData>
      <sheetData sheetId="22">
        <row r="45">
          <cell r="C45">
            <v>139777642.06999999</v>
          </cell>
        </row>
        <row r="46">
          <cell r="C46">
            <v>12338.89</v>
          </cell>
        </row>
        <row r="47">
          <cell r="C47">
            <v>5561012.0899999999</v>
          </cell>
        </row>
        <row r="48">
          <cell r="C48">
            <v>1749.56</v>
          </cell>
        </row>
        <row r="49">
          <cell r="C49">
            <v>0</v>
          </cell>
        </row>
        <row r="50">
          <cell r="C50">
            <v>1431.75</v>
          </cell>
        </row>
        <row r="51">
          <cell r="C51">
            <v>12937.15</v>
          </cell>
        </row>
        <row r="52">
          <cell r="C52">
            <v>1405.12</v>
          </cell>
        </row>
        <row r="53">
          <cell r="C53">
            <v>174.95</v>
          </cell>
        </row>
        <row r="54">
          <cell r="C54">
            <v>384.91</v>
          </cell>
        </row>
        <row r="55">
          <cell r="C55">
            <v>5009.78</v>
          </cell>
        </row>
        <row r="56">
          <cell r="C56">
            <v>1289.55</v>
          </cell>
        </row>
        <row r="57">
          <cell r="C57">
            <v>210.1</v>
          </cell>
        </row>
        <row r="58">
          <cell r="C58">
            <v>98982.24</v>
          </cell>
        </row>
        <row r="59">
          <cell r="C59">
            <v>161.91999999999999</v>
          </cell>
        </row>
        <row r="60">
          <cell r="C60">
            <v>217368</v>
          </cell>
        </row>
        <row r="61">
          <cell r="C61">
            <v>300</v>
          </cell>
        </row>
        <row r="62">
          <cell r="C62">
            <v>10.27</v>
          </cell>
        </row>
        <row r="63">
          <cell r="C63">
            <v>446213.99</v>
          </cell>
        </row>
        <row r="64">
          <cell r="C64">
            <v>10</v>
          </cell>
        </row>
        <row r="65">
          <cell r="C65">
            <v>29236.28</v>
          </cell>
        </row>
        <row r="66">
          <cell r="C66">
            <v>439.95</v>
          </cell>
        </row>
        <row r="67">
          <cell r="C67">
            <v>75</v>
          </cell>
        </row>
        <row r="68">
          <cell r="C68">
            <v>4835.6099999999997</v>
          </cell>
        </row>
        <row r="69">
          <cell r="C69">
            <v>3000</v>
          </cell>
        </row>
        <row r="70">
          <cell r="C70">
            <v>562.32000000000005</v>
          </cell>
        </row>
        <row r="71">
          <cell r="C71">
            <v>1534.23</v>
          </cell>
        </row>
        <row r="72">
          <cell r="C72">
            <v>962.57</v>
          </cell>
        </row>
        <row r="73">
          <cell r="C73">
            <v>3586.33</v>
          </cell>
        </row>
        <row r="74">
          <cell r="C74">
            <v>27293.119999999999</v>
          </cell>
        </row>
        <row r="75">
          <cell r="C75">
            <v>173159.28</v>
          </cell>
        </row>
        <row r="76">
          <cell r="C76">
            <v>123.5</v>
          </cell>
        </row>
        <row r="77">
          <cell r="C77">
            <v>742.79</v>
          </cell>
        </row>
        <row r="78">
          <cell r="C78">
            <v>3014.41</v>
          </cell>
        </row>
        <row r="79">
          <cell r="C79">
            <v>1261.73</v>
          </cell>
        </row>
        <row r="80">
          <cell r="C80">
            <v>2744.3</v>
          </cell>
        </row>
        <row r="81">
          <cell r="C81">
            <v>35410.69</v>
          </cell>
        </row>
        <row r="82">
          <cell r="C82">
            <v>411.98</v>
          </cell>
        </row>
        <row r="83">
          <cell r="C83">
            <v>1424.28</v>
          </cell>
        </row>
        <row r="84">
          <cell r="C84">
            <v>23056.54</v>
          </cell>
        </row>
        <row r="85">
          <cell r="C85">
            <v>3531.48</v>
          </cell>
        </row>
        <row r="86">
          <cell r="C86">
            <v>3531.65</v>
          </cell>
        </row>
        <row r="87">
          <cell r="C87">
            <v>71329.45</v>
          </cell>
        </row>
        <row r="88">
          <cell r="C88">
            <v>923303</v>
          </cell>
        </row>
        <row r="89">
          <cell r="C89">
            <v>48931.19</v>
          </cell>
        </row>
        <row r="90">
          <cell r="C90">
            <v>0</v>
          </cell>
        </row>
        <row r="91">
          <cell r="C91">
            <v>7279.21</v>
          </cell>
        </row>
        <row r="92">
          <cell r="C92">
            <v>450</v>
          </cell>
        </row>
        <row r="93">
          <cell r="C93">
            <v>1456</v>
          </cell>
        </row>
        <row r="94">
          <cell r="C94">
            <v>129537.38</v>
          </cell>
        </row>
        <row r="95">
          <cell r="C95">
            <v>78290.7</v>
          </cell>
        </row>
        <row r="96">
          <cell r="C96">
            <v>150000</v>
          </cell>
        </row>
        <row r="97">
          <cell r="C97">
            <v>56150.77</v>
          </cell>
        </row>
        <row r="98">
          <cell r="C98">
            <v>2607524.2599999998</v>
          </cell>
        </row>
        <row r="99">
          <cell r="C99">
            <v>161627.12</v>
          </cell>
        </row>
        <row r="100">
          <cell r="C100">
            <v>12813.12</v>
          </cell>
        </row>
        <row r="101">
          <cell r="C101">
            <v>237.17</v>
          </cell>
        </row>
        <row r="102">
          <cell r="C102">
            <v>1449.98</v>
          </cell>
        </row>
        <row r="103">
          <cell r="C103">
            <v>18801.560000000001</v>
          </cell>
        </row>
        <row r="104">
          <cell r="C104">
            <v>99991.97</v>
          </cell>
        </row>
        <row r="105">
          <cell r="C105">
            <v>64720.62</v>
          </cell>
        </row>
        <row r="106">
          <cell r="C106">
            <v>15810.36</v>
          </cell>
        </row>
        <row r="107">
          <cell r="C107">
            <v>134562.04</v>
          </cell>
        </row>
        <row r="112">
          <cell r="C112">
            <v>126.28</v>
          </cell>
        </row>
        <row r="113">
          <cell r="C113">
            <v>96206</v>
          </cell>
        </row>
        <row r="114">
          <cell r="C114">
            <v>3033.82</v>
          </cell>
        </row>
        <row r="115">
          <cell r="C115">
            <v>2403.13</v>
          </cell>
        </row>
        <row r="116">
          <cell r="C116">
            <v>442.7</v>
          </cell>
        </row>
        <row r="117">
          <cell r="C117">
            <v>64.540000000000006</v>
          </cell>
        </row>
        <row r="118">
          <cell r="C118">
            <v>79104.08</v>
          </cell>
        </row>
        <row r="119">
          <cell r="C119">
            <v>235.8</v>
          </cell>
        </row>
        <row r="120">
          <cell r="C120">
            <v>3289</v>
          </cell>
        </row>
        <row r="121">
          <cell r="C121">
            <v>296605.94</v>
          </cell>
        </row>
        <row r="122">
          <cell r="C122">
            <v>2700.47</v>
          </cell>
        </row>
        <row r="123">
          <cell r="C123">
            <v>84.38</v>
          </cell>
        </row>
        <row r="124">
          <cell r="C124">
            <v>10037.209999999999</v>
          </cell>
        </row>
        <row r="125">
          <cell r="C125">
            <v>4.4000000000000004</v>
          </cell>
        </row>
        <row r="126">
          <cell r="C126">
            <v>1482.42</v>
          </cell>
        </row>
        <row r="127">
          <cell r="C127">
            <v>53050.3</v>
          </cell>
        </row>
        <row r="128">
          <cell r="C128">
            <v>13590.88</v>
          </cell>
        </row>
        <row r="129">
          <cell r="C129">
            <v>27267.37</v>
          </cell>
        </row>
        <row r="130">
          <cell r="C130">
            <v>1859</v>
          </cell>
        </row>
        <row r="131">
          <cell r="C131">
            <v>790.42</v>
          </cell>
        </row>
        <row r="132">
          <cell r="C132">
            <v>3553.66</v>
          </cell>
        </row>
        <row r="133">
          <cell r="C133">
            <v>1459.68</v>
          </cell>
        </row>
        <row r="134">
          <cell r="C134">
            <v>42.97</v>
          </cell>
        </row>
        <row r="135">
          <cell r="C135">
            <v>90032.33</v>
          </cell>
        </row>
        <row r="136">
          <cell r="C136">
            <v>12023.57</v>
          </cell>
        </row>
        <row r="137">
          <cell r="C137">
            <v>1214.75</v>
          </cell>
        </row>
        <row r="138">
          <cell r="C138">
            <v>186.98</v>
          </cell>
        </row>
        <row r="139">
          <cell r="C139">
            <v>2531.81</v>
          </cell>
        </row>
        <row r="140">
          <cell r="C140">
            <v>105.97</v>
          </cell>
        </row>
        <row r="141">
          <cell r="C141">
            <v>167.95</v>
          </cell>
        </row>
        <row r="142">
          <cell r="C142">
            <v>157953.53</v>
          </cell>
        </row>
        <row r="143">
          <cell r="C143">
            <v>18659.080000000002</v>
          </cell>
        </row>
        <row r="144">
          <cell r="C144">
            <v>841.73</v>
          </cell>
        </row>
        <row r="145">
          <cell r="C145">
            <v>1575.87</v>
          </cell>
        </row>
        <row r="146">
          <cell r="C146">
            <v>31037.07</v>
          </cell>
        </row>
        <row r="151">
          <cell r="C151">
            <v>5089486.4000000004</v>
          </cell>
        </row>
        <row r="152">
          <cell r="C152">
            <v>120550.47</v>
          </cell>
        </row>
        <row r="153">
          <cell r="C153">
            <v>264490.12</v>
          </cell>
        </row>
        <row r="154">
          <cell r="C154">
            <v>-8465.76</v>
          </cell>
        </row>
        <row r="155">
          <cell r="C155">
            <v>170.17</v>
          </cell>
        </row>
        <row r="156">
          <cell r="C156">
            <v>4740.6000000000004</v>
          </cell>
        </row>
        <row r="157">
          <cell r="C157">
            <v>79.2</v>
          </cell>
        </row>
        <row r="158">
          <cell r="C158">
            <v>2467.4</v>
          </cell>
        </row>
        <row r="159">
          <cell r="C159">
            <v>3353.91</v>
          </cell>
        </row>
        <row r="160">
          <cell r="C160">
            <v>103</v>
          </cell>
        </row>
        <row r="161">
          <cell r="C161">
            <v>412.15</v>
          </cell>
        </row>
        <row r="162">
          <cell r="C162">
            <v>128.75</v>
          </cell>
        </row>
        <row r="163">
          <cell r="C163">
            <v>167.95</v>
          </cell>
        </row>
        <row r="164">
          <cell r="C164">
            <v>280897.43</v>
          </cell>
        </row>
        <row r="165">
          <cell r="C165">
            <v>2174.9899999999998</v>
          </cell>
        </row>
        <row r="166">
          <cell r="C166">
            <v>32246.03</v>
          </cell>
        </row>
        <row r="167">
          <cell r="C167">
            <v>8.2200000000000006</v>
          </cell>
        </row>
        <row r="168">
          <cell r="C168">
            <v>1788.79</v>
          </cell>
        </row>
        <row r="169">
          <cell r="C169">
            <v>210.35</v>
          </cell>
        </row>
        <row r="170">
          <cell r="C170">
            <v>31.99</v>
          </cell>
        </row>
        <row r="171">
          <cell r="C171">
            <v>627.94000000000005</v>
          </cell>
        </row>
        <row r="172">
          <cell r="C172">
            <v>98.91</v>
          </cell>
        </row>
        <row r="173">
          <cell r="C173">
            <v>108.96</v>
          </cell>
        </row>
        <row r="174">
          <cell r="C174">
            <v>536.82000000000005</v>
          </cell>
        </row>
        <row r="175">
          <cell r="C175">
            <v>24259.1</v>
          </cell>
        </row>
        <row r="176">
          <cell r="C176">
            <v>614.41</v>
          </cell>
        </row>
        <row r="177">
          <cell r="C177">
            <v>3252.68</v>
          </cell>
        </row>
        <row r="178">
          <cell r="C178">
            <v>6159.06</v>
          </cell>
        </row>
        <row r="179">
          <cell r="C179">
            <v>121065.38</v>
          </cell>
        </row>
        <row r="180">
          <cell r="C180">
            <v>539.97</v>
          </cell>
        </row>
        <row r="181">
          <cell r="C181">
            <v>10003.41</v>
          </cell>
        </row>
        <row r="182">
          <cell r="C182">
            <v>1683.65</v>
          </cell>
        </row>
        <row r="183">
          <cell r="C183">
            <v>150</v>
          </cell>
        </row>
        <row r="184">
          <cell r="C184">
            <v>469.62</v>
          </cell>
        </row>
        <row r="185">
          <cell r="C185">
            <v>3328.3</v>
          </cell>
        </row>
        <row r="186">
          <cell r="C186">
            <v>13677.84</v>
          </cell>
        </row>
        <row r="214">
          <cell r="C214">
            <v>159979.72</v>
          </cell>
        </row>
        <row r="217">
          <cell r="C217">
            <v>2870234.16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2853.18</v>
          </cell>
        </row>
        <row r="221">
          <cell r="C221">
            <v>25.92</v>
          </cell>
        </row>
        <row r="222">
          <cell r="C222">
            <v>19259.689999999999</v>
          </cell>
        </row>
        <row r="223">
          <cell r="C223">
            <v>225.18</v>
          </cell>
        </row>
        <row r="224">
          <cell r="C224">
            <v>331.59</v>
          </cell>
        </row>
        <row r="225">
          <cell r="C225">
            <v>3795.98</v>
          </cell>
        </row>
        <row r="226">
          <cell r="C226">
            <v>2227.7199999999998</v>
          </cell>
        </row>
        <row r="227">
          <cell r="C227">
            <v>0</v>
          </cell>
        </row>
        <row r="228">
          <cell r="C228">
            <v>95.7</v>
          </cell>
        </row>
        <row r="229">
          <cell r="C229">
            <v>1805.45</v>
          </cell>
        </row>
        <row r="230">
          <cell r="C230">
            <v>607.52</v>
          </cell>
        </row>
        <row r="231">
          <cell r="C231">
            <v>377.59</v>
          </cell>
        </row>
        <row r="232">
          <cell r="C232">
            <v>99.45</v>
          </cell>
        </row>
        <row r="237">
          <cell r="C237">
            <v>934549.97</v>
          </cell>
        </row>
        <row r="238">
          <cell r="C238">
            <v>8100.87</v>
          </cell>
        </row>
        <row r="239">
          <cell r="C239">
            <v>188734.53</v>
          </cell>
        </row>
        <row r="242">
          <cell r="C242">
            <v>36846.080000000002</v>
          </cell>
        </row>
        <row r="243">
          <cell r="C243">
            <v>120.62</v>
          </cell>
        </row>
        <row r="244">
          <cell r="C244">
            <v>80671.91</v>
          </cell>
        </row>
        <row r="254">
          <cell r="C254">
            <v>642127.06999999995</v>
          </cell>
        </row>
        <row r="267">
          <cell r="C267">
            <v>6306.31</v>
          </cell>
        </row>
        <row r="278">
          <cell r="C278">
            <v>74728.08</v>
          </cell>
        </row>
        <row r="301">
          <cell r="C301">
            <v>226200</v>
          </cell>
        </row>
        <row r="304">
          <cell r="C304">
            <v>349801.03</v>
          </cell>
        </row>
        <row r="305">
          <cell r="C305">
            <v>113.53</v>
          </cell>
        </row>
        <row r="306">
          <cell r="C306">
            <v>60</v>
          </cell>
        </row>
        <row r="307">
          <cell r="C307">
            <v>35</v>
          </cell>
        </row>
        <row r="308">
          <cell r="C308">
            <v>6002.3</v>
          </cell>
        </row>
        <row r="309">
          <cell r="C309">
            <v>0</v>
          </cell>
        </row>
        <row r="310">
          <cell r="C310">
            <v>96.76</v>
          </cell>
        </row>
        <row r="311">
          <cell r="C311">
            <v>250.43</v>
          </cell>
        </row>
        <row r="312">
          <cell r="C312">
            <v>23.39</v>
          </cell>
        </row>
        <row r="313">
          <cell r="C313">
            <v>60.92</v>
          </cell>
        </row>
        <row r="314">
          <cell r="C314">
            <v>9007.6</v>
          </cell>
        </row>
        <row r="315">
          <cell r="C315">
            <v>1322.97</v>
          </cell>
        </row>
        <row r="316">
          <cell r="C316">
            <v>1106.83</v>
          </cell>
        </row>
        <row r="317">
          <cell r="C317">
            <v>1000</v>
          </cell>
        </row>
        <row r="318">
          <cell r="C318">
            <v>6114.41</v>
          </cell>
        </row>
        <row r="323">
          <cell r="C323">
            <v>26633006.329999998</v>
          </cell>
        </row>
        <row r="324">
          <cell r="C324">
            <v>265505.84999999998</v>
          </cell>
        </row>
        <row r="325">
          <cell r="C325">
            <v>3542054.38</v>
          </cell>
        </row>
        <row r="333">
          <cell r="C333">
            <v>0</v>
          </cell>
        </row>
        <row r="334">
          <cell r="C334">
            <v>851.1</v>
          </cell>
        </row>
        <row r="335">
          <cell r="C335">
            <v>671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39">
          <cell r="C339">
            <v>990.02</v>
          </cell>
        </row>
        <row r="340">
          <cell r="C340">
            <v>95.17</v>
          </cell>
        </row>
        <row r="341">
          <cell r="C341">
            <v>55.25</v>
          </cell>
        </row>
        <row r="342">
          <cell r="C342">
            <v>5730.03</v>
          </cell>
        </row>
        <row r="343">
          <cell r="C343">
            <v>135.51</v>
          </cell>
        </row>
        <row r="344">
          <cell r="C344">
            <v>156707.62</v>
          </cell>
        </row>
        <row r="345">
          <cell r="C345">
            <v>425.91</v>
          </cell>
        </row>
        <row r="346">
          <cell r="C346">
            <v>-34601.79</v>
          </cell>
        </row>
        <row r="347">
          <cell r="C347">
            <v>531</v>
          </cell>
        </row>
        <row r="348">
          <cell r="C348">
            <v>274.17</v>
          </cell>
        </row>
        <row r="366">
          <cell r="C366">
            <v>1205027.6200000001</v>
          </cell>
        </row>
        <row r="373">
          <cell r="C373">
            <v>10460.93</v>
          </cell>
        </row>
        <row r="379">
          <cell r="C379">
            <v>301.04000000000002</v>
          </cell>
        </row>
        <row r="382">
          <cell r="C382">
            <v>3406.6</v>
          </cell>
        </row>
        <row r="383">
          <cell r="C383">
            <v>74080.75</v>
          </cell>
        </row>
        <row r="384">
          <cell r="C384">
            <v>136.5</v>
          </cell>
        </row>
        <row r="385">
          <cell r="C385">
            <v>1659.84</v>
          </cell>
        </row>
        <row r="386">
          <cell r="C386">
            <v>3907.1</v>
          </cell>
        </row>
        <row r="394">
          <cell r="C394">
            <v>0</v>
          </cell>
        </row>
        <row r="409">
          <cell r="C409">
            <v>45612.59</v>
          </cell>
        </row>
        <row r="435">
          <cell r="C435">
            <v>139422.12</v>
          </cell>
        </row>
        <row r="443">
          <cell r="C443">
            <v>8226.44</v>
          </cell>
        </row>
        <row r="448">
          <cell r="C448">
            <v>0</v>
          </cell>
        </row>
        <row r="463">
          <cell r="C463">
            <v>44727.89</v>
          </cell>
        </row>
        <row r="477">
          <cell r="C477">
            <v>50067.74</v>
          </cell>
        </row>
        <row r="489">
          <cell r="C489">
            <v>76232.31</v>
          </cell>
        </row>
        <row r="499">
          <cell r="C499">
            <v>23982.39</v>
          </cell>
        </row>
        <row r="505">
          <cell r="C505">
            <v>20330.3</v>
          </cell>
        </row>
        <row r="521">
          <cell r="C521">
            <v>165789.41</v>
          </cell>
        </row>
        <row r="530">
          <cell r="C530">
            <v>82471.28</v>
          </cell>
        </row>
        <row r="535">
          <cell r="C535">
            <v>28565.73</v>
          </cell>
        </row>
        <row r="551">
          <cell r="C551">
            <v>333057.08</v>
          </cell>
        </row>
        <row r="575">
          <cell r="C575">
            <v>222068.81</v>
          </cell>
        </row>
        <row r="594">
          <cell r="C594">
            <v>95591.51</v>
          </cell>
        </row>
        <row r="599">
          <cell r="C599">
            <v>0</v>
          </cell>
        </row>
        <row r="610">
          <cell r="C610">
            <v>13791.8</v>
          </cell>
        </row>
        <row r="613">
          <cell r="C613">
            <v>162911.54</v>
          </cell>
        </row>
        <row r="614">
          <cell r="C614">
            <v>100350.68</v>
          </cell>
        </row>
        <row r="621">
          <cell r="C621">
            <v>0</v>
          </cell>
        </row>
        <row r="626">
          <cell r="C626">
            <v>7442</v>
          </cell>
        </row>
        <row r="632">
          <cell r="C632">
            <v>9488.44</v>
          </cell>
        </row>
        <row r="643">
          <cell r="C643">
            <v>33194.949999999997</v>
          </cell>
        </row>
        <row r="648">
          <cell r="C648">
            <v>0</v>
          </cell>
        </row>
        <row r="651">
          <cell r="C651">
            <v>6453108.25</v>
          </cell>
        </row>
        <row r="652">
          <cell r="C652">
            <v>76294.759999999995</v>
          </cell>
        </row>
        <row r="653">
          <cell r="C653">
            <v>0</v>
          </cell>
        </row>
        <row r="654">
          <cell r="C654">
            <v>7821.02</v>
          </cell>
        </row>
        <row r="656">
          <cell r="C656">
            <v>1083809.1100000001</v>
          </cell>
        </row>
        <row r="659">
          <cell r="C659">
            <v>5363315.8899999997</v>
          </cell>
        </row>
        <row r="661">
          <cell r="C661">
            <v>626236.38</v>
          </cell>
        </row>
        <row r="663">
          <cell r="C663">
            <v>2588331.86</v>
          </cell>
        </row>
        <row r="664">
          <cell r="C664">
            <v>358692.58</v>
          </cell>
        </row>
        <row r="665">
          <cell r="C665">
            <v>29173</v>
          </cell>
        </row>
        <row r="666">
          <cell r="C666">
            <v>928809.84</v>
          </cell>
        </row>
        <row r="667">
          <cell r="C667">
            <v>139.9</v>
          </cell>
        </row>
        <row r="668">
          <cell r="C668">
            <v>530508.67000000004</v>
          </cell>
        </row>
        <row r="669">
          <cell r="C669">
            <v>0</v>
          </cell>
        </row>
        <row r="679">
          <cell r="C679">
            <v>905648.16</v>
          </cell>
        </row>
        <row r="680">
          <cell r="C680">
            <v>711096.23</v>
          </cell>
        </row>
        <row r="681">
          <cell r="C681">
            <v>48494.62</v>
          </cell>
        </row>
        <row r="683">
          <cell r="C683">
            <v>464.46</v>
          </cell>
        </row>
        <row r="684">
          <cell r="C684">
            <v>2928.63</v>
          </cell>
        </row>
        <row r="695">
          <cell r="C695">
            <v>12113.52</v>
          </cell>
        </row>
        <row r="727">
          <cell r="C727">
            <v>1741721.87</v>
          </cell>
        </row>
        <row r="733">
          <cell r="C733">
            <v>430094.73</v>
          </cell>
        </row>
        <row r="737">
          <cell r="C737">
            <v>437301.6</v>
          </cell>
        </row>
        <row r="748">
          <cell r="C748">
            <v>141340.29999999999</v>
          </cell>
        </row>
        <row r="754">
          <cell r="C754">
            <v>12544.14</v>
          </cell>
        </row>
        <row r="759">
          <cell r="C759">
            <v>0</v>
          </cell>
        </row>
        <row r="762">
          <cell r="C762">
            <v>5867089.8700000001</v>
          </cell>
        </row>
        <row r="763">
          <cell r="C763">
            <v>114544.3</v>
          </cell>
        </row>
        <row r="764">
          <cell r="C764">
            <v>940858.08</v>
          </cell>
        </row>
        <row r="765">
          <cell r="C765">
            <v>486.5</v>
          </cell>
        </row>
        <row r="766">
          <cell r="C766">
            <v>50</v>
          </cell>
        </row>
        <row r="767">
          <cell r="C767">
            <v>421.19</v>
          </cell>
        </row>
        <row r="768">
          <cell r="C768">
            <v>104716.7</v>
          </cell>
        </row>
        <row r="769">
          <cell r="C769">
            <v>-75</v>
          </cell>
        </row>
        <row r="770">
          <cell r="C770">
            <v>49287.19</v>
          </cell>
        </row>
        <row r="771">
          <cell r="C771">
            <v>-4655.75</v>
          </cell>
        </row>
        <row r="772">
          <cell r="C772">
            <v>445</v>
          </cell>
        </row>
        <row r="773">
          <cell r="C773">
            <v>520</v>
          </cell>
        </row>
        <row r="774">
          <cell r="C774">
            <v>5189074.3499999996</v>
          </cell>
        </row>
        <row r="775">
          <cell r="C775">
            <v>500</v>
          </cell>
        </row>
        <row r="776">
          <cell r="C776">
            <v>5442</v>
          </cell>
        </row>
        <row r="777">
          <cell r="C777">
            <v>1866.12</v>
          </cell>
        </row>
        <row r="778">
          <cell r="C778">
            <v>6.72</v>
          </cell>
        </row>
        <row r="779">
          <cell r="C779">
            <v>5063.82</v>
          </cell>
        </row>
        <row r="780">
          <cell r="C780">
            <v>-29.95</v>
          </cell>
        </row>
        <row r="781">
          <cell r="C781">
            <v>16583.34</v>
          </cell>
        </row>
        <row r="782">
          <cell r="C782">
            <v>10342.07</v>
          </cell>
        </row>
        <row r="783">
          <cell r="C783">
            <v>495</v>
          </cell>
        </row>
        <row r="784">
          <cell r="C784">
            <v>1260.96</v>
          </cell>
        </row>
        <row r="785">
          <cell r="C785">
            <v>1311.06</v>
          </cell>
        </row>
        <row r="786">
          <cell r="C786">
            <v>254.01</v>
          </cell>
        </row>
        <row r="787">
          <cell r="C787">
            <v>145.5</v>
          </cell>
        </row>
        <row r="788">
          <cell r="C788">
            <v>6451.33</v>
          </cell>
        </row>
        <row r="789">
          <cell r="C789">
            <v>1621.59</v>
          </cell>
        </row>
        <row r="790">
          <cell r="C790">
            <v>10.53</v>
          </cell>
        </row>
        <row r="791">
          <cell r="C791">
            <v>1048.21</v>
          </cell>
        </row>
        <row r="792">
          <cell r="C792">
            <v>547.63</v>
          </cell>
        </row>
        <row r="793">
          <cell r="C793">
            <v>337.84</v>
          </cell>
        </row>
        <row r="794">
          <cell r="C794">
            <v>8136.56</v>
          </cell>
        </row>
        <row r="795">
          <cell r="C795">
            <v>3176.89</v>
          </cell>
        </row>
        <row r="806">
          <cell r="C806">
            <v>40387.129999999997</v>
          </cell>
        </row>
        <row r="809">
          <cell r="C809">
            <v>40275</v>
          </cell>
        </row>
        <row r="810">
          <cell r="C810">
            <v>0</v>
          </cell>
        </row>
        <row r="811">
          <cell r="C811">
            <v>5138.43</v>
          </cell>
        </row>
        <row r="812">
          <cell r="C812">
            <v>701.93</v>
          </cell>
        </row>
        <row r="813">
          <cell r="C813">
            <v>1136.08</v>
          </cell>
        </row>
        <row r="814">
          <cell r="C814">
            <v>2293.85</v>
          </cell>
        </row>
        <row r="815">
          <cell r="C815">
            <v>129</v>
          </cell>
        </row>
        <row r="816">
          <cell r="C816">
            <v>1000</v>
          </cell>
        </row>
        <row r="817">
          <cell r="C817">
            <v>293.02</v>
          </cell>
        </row>
        <row r="818">
          <cell r="C818">
            <v>1.05</v>
          </cell>
        </row>
        <row r="819">
          <cell r="C819">
            <v>14.62</v>
          </cell>
        </row>
        <row r="820">
          <cell r="C820">
            <v>4874.12</v>
          </cell>
        </row>
        <row r="821">
          <cell r="C821">
            <v>1112.3499999999999</v>
          </cell>
        </row>
        <row r="822">
          <cell r="C822">
            <v>1546.95</v>
          </cell>
        </row>
        <row r="823">
          <cell r="C823">
            <v>400</v>
          </cell>
        </row>
        <row r="824">
          <cell r="C824">
            <v>23584.02</v>
          </cell>
        </row>
        <row r="825">
          <cell r="C825">
            <v>4828.49</v>
          </cell>
        </row>
        <row r="826">
          <cell r="C826">
            <v>615.35</v>
          </cell>
        </row>
        <row r="827">
          <cell r="C827">
            <v>9501.1200000000008</v>
          </cell>
        </row>
        <row r="828">
          <cell r="C828">
            <v>359.94</v>
          </cell>
        </row>
        <row r="829">
          <cell r="C829">
            <v>32308.87</v>
          </cell>
        </row>
        <row r="830">
          <cell r="C830">
            <v>385.97</v>
          </cell>
        </row>
        <row r="831">
          <cell r="C831">
            <v>1246.18</v>
          </cell>
        </row>
        <row r="832">
          <cell r="C832">
            <v>3453.9</v>
          </cell>
        </row>
        <row r="837">
          <cell r="C837">
            <v>6569981.5599999996</v>
          </cell>
        </row>
        <row r="838">
          <cell r="C838">
            <v>5657.89</v>
          </cell>
        </row>
        <row r="839">
          <cell r="C839">
            <v>32193.26</v>
          </cell>
        </row>
        <row r="840">
          <cell r="C840">
            <v>145944.07999999999</v>
          </cell>
        </row>
        <row r="841">
          <cell r="C841">
            <v>63196</v>
          </cell>
        </row>
        <row r="842">
          <cell r="C842">
            <v>0</v>
          </cell>
        </row>
        <row r="843">
          <cell r="C843">
            <v>75.930000000000007</v>
          </cell>
        </row>
        <row r="844">
          <cell r="C844">
            <v>4796.68</v>
          </cell>
        </row>
        <row r="845">
          <cell r="C845">
            <v>35</v>
          </cell>
        </row>
        <row r="846">
          <cell r="C846">
            <v>30000</v>
          </cell>
        </row>
        <row r="847">
          <cell r="C847">
            <v>2026</v>
          </cell>
        </row>
        <row r="848">
          <cell r="C848">
            <v>4006.68</v>
          </cell>
        </row>
        <row r="849">
          <cell r="C849">
            <v>63034.29</v>
          </cell>
        </row>
        <row r="850">
          <cell r="C850">
            <v>9862.3700000000008</v>
          </cell>
        </row>
        <row r="851">
          <cell r="C851">
            <v>-114</v>
          </cell>
        </row>
        <row r="852">
          <cell r="C852">
            <v>66.77</v>
          </cell>
        </row>
        <row r="853">
          <cell r="C853">
            <v>50.09</v>
          </cell>
        </row>
        <row r="854">
          <cell r="C854">
            <v>71333.03</v>
          </cell>
        </row>
        <row r="855">
          <cell r="C855">
            <v>170</v>
          </cell>
        </row>
        <row r="856">
          <cell r="C856">
            <v>94186.15</v>
          </cell>
        </row>
        <row r="857">
          <cell r="C857">
            <v>45</v>
          </cell>
        </row>
        <row r="858">
          <cell r="C858">
            <v>218468.43</v>
          </cell>
        </row>
        <row r="859">
          <cell r="C859">
            <v>1542.99</v>
          </cell>
        </row>
        <row r="860">
          <cell r="C860">
            <v>1229.76</v>
          </cell>
        </row>
        <row r="861">
          <cell r="C861">
            <v>410.7</v>
          </cell>
        </row>
        <row r="862">
          <cell r="C862">
            <v>185</v>
          </cell>
        </row>
        <row r="863">
          <cell r="C863">
            <v>1685.51</v>
          </cell>
        </row>
        <row r="864">
          <cell r="C864">
            <v>22978.66</v>
          </cell>
        </row>
        <row r="865">
          <cell r="C865">
            <v>745.53</v>
          </cell>
        </row>
        <row r="866">
          <cell r="C866">
            <v>17836.759999999998</v>
          </cell>
        </row>
        <row r="867">
          <cell r="C867">
            <v>40.270000000000003</v>
          </cell>
        </row>
        <row r="868">
          <cell r="C868">
            <v>1900.27</v>
          </cell>
        </row>
        <row r="869">
          <cell r="C869">
            <v>7863.13</v>
          </cell>
        </row>
        <row r="870">
          <cell r="C870">
            <v>24982.15</v>
          </cell>
        </row>
        <row r="871">
          <cell r="C871">
            <v>4332.79</v>
          </cell>
        </row>
        <row r="872">
          <cell r="C872">
            <v>900.34</v>
          </cell>
        </row>
        <row r="873">
          <cell r="C873">
            <v>4001.53</v>
          </cell>
        </row>
        <row r="874">
          <cell r="C874">
            <v>3696.28</v>
          </cell>
        </row>
        <row r="875">
          <cell r="C875">
            <v>3134.41</v>
          </cell>
        </row>
        <row r="876">
          <cell r="C876">
            <v>146.05000000000001</v>
          </cell>
        </row>
        <row r="877">
          <cell r="C877">
            <v>49.48</v>
          </cell>
        </row>
        <row r="878">
          <cell r="C878">
            <v>221.49</v>
          </cell>
        </row>
        <row r="879">
          <cell r="C879">
            <v>34973.18</v>
          </cell>
        </row>
        <row r="880">
          <cell r="C880">
            <v>448.81</v>
          </cell>
        </row>
        <row r="881">
          <cell r="C881">
            <v>5662.3</v>
          </cell>
        </row>
        <row r="882">
          <cell r="C882">
            <v>19605.080000000002</v>
          </cell>
        </row>
        <row r="883">
          <cell r="C883">
            <v>18957.16</v>
          </cell>
        </row>
        <row r="884">
          <cell r="C884">
            <v>722.41</v>
          </cell>
        </row>
        <row r="885">
          <cell r="C885">
            <v>625</v>
          </cell>
        </row>
        <row r="886">
          <cell r="C886">
            <v>52589.57</v>
          </cell>
        </row>
        <row r="887">
          <cell r="C887">
            <v>39343.449999999997</v>
          </cell>
        </row>
        <row r="888">
          <cell r="C888">
            <v>44645.29</v>
          </cell>
        </row>
        <row r="889">
          <cell r="C889">
            <v>1992.11</v>
          </cell>
        </row>
        <row r="890">
          <cell r="C890">
            <v>574.9</v>
          </cell>
        </row>
        <row r="891">
          <cell r="C891">
            <v>544</v>
          </cell>
        </row>
        <row r="892">
          <cell r="C892">
            <v>3857.88</v>
          </cell>
        </row>
        <row r="893">
          <cell r="C893">
            <v>0</v>
          </cell>
        </row>
        <row r="898">
          <cell r="C898">
            <v>2834.98</v>
          </cell>
        </row>
        <row r="899">
          <cell r="C899">
            <v>0</v>
          </cell>
        </row>
        <row r="900">
          <cell r="C900">
            <v>3051269.86</v>
          </cell>
        </row>
        <row r="901">
          <cell r="C901">
            <v>232.52</v>
          </cell>
        </row>
        <row r="902">
          <cell r="C902">
            <v>131938.21</v>
          </cell>
        </row>
        <row r="903">
          <cell r="C903">
            <v>490934.3</v>
          </cell>
        </row>
        <row r="904">
          <cell r="C904">
            <v>8662</v>
          </cell>
        </row>
        <row r="905">
          <cell r="C905">
            <v>208628.01</v>
          </cell>
        </row>
        <row r="906">
          <cell r="C906">
            <v>9063423.1199999992</v>
          </cell>
        </row>
        <row r="907">
          <cell r="C907">
            <v>2187648.86</v>
          </cell>
        </row>
        <row r="908">
          <cell r="C908">
            <v>3349822.82</v>
          </cell>
        </row>
        <row r="910">
          <cell r="C910">
            <v>146721</v>
          </cell>
        </row>
        <row r="911">
          <cell r="C911">
            <v>24860.87</v>
          </cell>
        </row>
        <row r="912">
          <cell r="C912">
            <v>5565.65</v>
          </cell>
        </row>
        <row r="913">
          <cell r="C913">
            <v>25649.78</v>
          </cell>
        </row>
        <row r="914">
          <cell r="C914">
            <v>971568.44</v>
          </cell>
        </row>
        <row r="915">
          <cell r="C915">
            <v>1712.99</v>
          </cell>
        </row>
        <row r="916">
          <cell r="C916">
            <v>600</v>
          </cell>
        </row>
        <row r="917">
          <cell r="C917">
            <v>290</v>
          </cell>
        </row>
        <row r="918">
          <cell r="C918">
            <v>1297.75</v>
          </cell>
        </row>
        <row r="919">
          <cell r="C919">
            <v>543.25</v>
          </cell>
        </row>
        <row r="920">
          <cell r="C920">
            <v>789.75</v>
          </cell>
        </row>
        <row r="921">
          <cell r="C921">
            <v>4429.46</v>
          </cell>
        </row>
        <row r="922">
          <cell r="C922">
            <v>2820</v>
          </cell>
        </row>
        <row r="923">
          <cell r="C923">
            <v>148.32</v>
          </cell>
        </row>
        <row r="924">
          <cell r="C924">
            <v>2732.5</v>
          </cell>
        </row>
        <row r="925">
          <cell r="C925">
            <v>28043.48</v>
          </cell>
        </row>
        <row r="926">
          <cell r="C926">
            <v>2232.4</v>
          </cell>
        </row>
        <row r="927">
          <cell r="C927">
            <v>100.98</v>
          </cell>
        </row>
        <row r="928">
          <cell r="C928">
            <v>176.54</v>
          </cell>
        </row>
        <row r="929">
          <cell r="C929">
            <v>39.99</v>
          </cell>
        </row>
        <row r="930">
          <cell r="C930">
            <v>187.37</v>
          </cell>
        </row>
        <row r="931">
          <cell r="C931">
            <v>31.02</v>
          </cell>
        </row>
        <row r="932">
          <cell r="C932">
            <v>15161.75</v>
          </cell>
        </row>
        <row r="940">
          <cell r="C940">
            <v>2834.29</v>
          </cell>
        </row>
        <row r="948">
          <cell r="C948">
            <v>529.08000000000004</v>
          </cell>
        </row>
        <row r="953">
          <cell r="C953">
            <v>25338.79</v>
          </cell>
        </row>
        <row r="958">
          <cell r="C958">
            <v>0</v>
          </cell>
        </row>
        <row r="964">
          <cell r="C964">
            <v>0</v>
          </cell>
        </row>
        <row r="969">
          <cell r="C969">
            <v>0</v>
          </cell>
        </row>
        <row r="975">
          <cell r="C975">
            <v>0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0766-BD5C-46AD-B223-07C09A0BF6CC}">
  <dimension ref="A1:AJ184"/>
  <sheetViews>
    <sheetView tabSelected="1" zoomScaleNormal="100" workbookViewId="0">
      <selection activeCell="N62" sqref="N62"/>
    </sheetView>
  </sheetViews>
  <sheetFormatPr defaultColWidth="8.85546875" defaultRowHeight="15" outlineLevelRow="1" x14ac:dyDescent="0.3"/>
  <cols>
    <col min="1" max="1" width="16.28515625" style="13" customWidth="1"/>
    <col min="2" max="3" width="21.5703125" style="13" customWidth="1"/>
    <col min="4" max="4" width="12.5703125" style="13" customWidth="1"/>
    <col min="5" max="5" width="10.85546875" style="13" hidden="1" customWidth="1"/>
    <col min="6" max="6" width="9.5703125" style="13" hidden="1" customWidth="1"/>
    <col min="7" max="7" width="10.5703125" style="13" hidden="1" customWidth="1"/>
    <col min="8" max="9" width="14.28515625" style="13" customWidth="1"/>
    <col min="10" max="10" width="15.5703125" style="13" bestFit="1" customWidth="1"/>
    <col min="11" max="11" width="14.28515625" style="13" customWidth="1"/>
    <col min="12" max="12" width="12.28515625" style="13" customWidth="1"/>
    <col min="13" max="13" width="14.42578125" style="13" customWidth="1"/>
    <col min="14" max="14" width="14.42578125" style="13" bestFit="1" customWidth="1"/>
    <col min="15" max="15" width="12.42578125" style="13" bestFit="1" customWidth="1"/>
    <col min="16" max="19" width="14.42578125" style="13" bestFit="1" customWidth="1"/>
    <col min="20" max="20" width="9.140625" style="13" customWidth="1"/>
    <col min="21" max="21" width="10" style="13" hidden="1" customWidth="1"/>
    <col min="22" max="22" width="15" style="13" bestFit="1" customWidth="1"/>
    <col min="23" max="23" width="11" style="13" bestFit="1" customWidth="1"/>
    <col min="24" max="24" width="67.5703125" style="13" hidden="1" customWidth="1"/>
    <col min="25" max="25" width="4.5703125" style="13" customWidth="1"/>
    <col min="26" max="26" width="14.28515625" style="13" hidden="1" customWidth="1"/>
    <col min="27" max="27" width="13.5703125" style="13" hidden="1" customWidth="1"/>
    <col min="28" max="28" width="12.28515625" style="13" hidden="1" customWidth="1"/>
    <col min="29" max="29" width="4.5703125" style="13" hidden="1" customWidth="1"/>
    <col min="30" max="30" width="14.28515625" style="13" hidden="1" customWidth="1"/>
    <col min="31" max="31" width="15.5703125" style="13" hidden="1" customWidth="1"/>
    <col min="32" max="32" width="12.28515625" style="13" hidden="1" customWidth="1"/>
    <col min="33" max="33" width="4.5703125" style="13" hidden="1" customWidth="1"/>
    <col min="34" max="34" width="14.28515625" style="13" hidden="1" customWidth="1"/>
    <col min="35" max="35" width="13.5703125" style="13" hidden="1" customWidth="1"/>
    <col min="36" max="36" width="12.28515625" style="13" hidden="1" customWidth="1"/>
    <col min="37" max="16384" width="8.85546875" style="13"/>
  </cols>
  <sheetData>
    <row r="1" spans="1:36" s="7" customFormat="1" x14ac:dyDescent="0.3">
      <c r="A1" s="1"/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5"/>
      <c r="AB1" s="5"/>
      <c r="AC1" s="6"/>
      <c r="AD1" s="5"/>
      <c r="AE1" s="5"/>
      <c r="AF1" s="5"/>
      <c r="AH1" s="5"/>
      <c r="AI1" s="5"/>
      <c r="AJ1" s="5"/>
    </row>
    <row r="2" spans="1:36" s="7" customFormat="1" ht="16.5" x14ac:dyDescent="0.3">
      <c r="A2" s="4"/>
      <c r="B2" s="2"/>
      <c r="C2" s="2"/>
      <c r="D2" s="8"/>
      <c r="E2" s="3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5"/>
      <c r="AA2" s="5"/>
      <c r="AB2" s="5"/>
      <c r="AC2" s="6"/>
      <c r="AD2" s="5"/>
      <c r="AE2" s="5"/>
      <c r="AF2" s="5"/>
      <c r="AH2" s="5"/>
      <c r="AI2" s="5"/>
      <c r="AJ2" s="5"/>
    </row>
    <row r="3" spans="1:36" s="7" customFormat="1" x14ac:dyDescent="0.3">
      <c r="A3" s="9"/>
      <c r="B3" s="2"/>
      <c r="C3" s="2"/>
      <c r="D3" s="2"/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5"/>
      <c r="AA3" s="5"/>
      <c r="AB3" s="5"/>
      <c r="AC3" s="6"/>
      <c r="AD3" s="5"/>
      <c r="AE3" s="5"/>
      <c r="AF3" s="5"/>
      <c r="AH3" s="5"/>
      <c r="AI3" s="5"/>
      <c r="AJ3" s="5"/>
    </row>
    <row r="4" spans="1:36" s="7" customFormat="1" ht="15" customHeight="1" x14ac:dyDescent="0.3">
      <c r="A4" s="12"/>
      <c r="B4" s="4"/>
      <c r="C4" s="4"/>
      <c r="D4" s="4"/>
      <c r="F4" s="4"/>
      <c r="G4" s="4"/>
      <c r="H4" s="4"/>
      <c r="I4" s="4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3"/>
      <c r="AA4" s="13"/>
      <c r="AB4" s="13"/>
      <c r="AC4" s="4"/>
      <c r="AD4" s="13"/>
      <c r="AE4" s="13"/>
      <c r="AF4" s="13"/>
      <c r="AG4" s="4"/>
      <c r="AH4" s="13"/>
      <c r="AI4" s="13"/>
      <c r="AJ4" s="13"/>
    </row>
    <row r="5" spans="1:36" s="7" customFormat="1" ht="15.75" customHeight="1" thickBot="1" x14ac:dyDescent="0.3">
      <c r="A5" s="4" t="s">
        <v>3</v>
      </c>
      <c r="B5" s="14"/>
      <c r="C5" s="14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5"/>
      <c r="P5" s="16"/>
      <c r="Q5" s="17"/>
      <c r="R5" s="17"/>
      <c r="S5" s="17"/>
      <c r="T5" s="17"/>
      <c r="U5" s="17"/>
    </row>
    <row r="6" spans="1:36" s="7" customFormat="1" x14ac:dyDescent="0.3">
      <c r="A6" s="18" t="s">
        <v>4</v>
      </c>
      <c r="B6" s="18" t="s">
        <v>5</v>
      </c>
      <c r="C6" s="18"/>
      <c r="D6" s="18"/>
      <c r="E6" s="19" t="s">
        <v>6</v>
      </c>
      <c r="F6" s="20"/>
      <c r="G6" s="21"/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6"/>
      <c r="T6" s="26"/>
      <c r="U6" s="27" t="s">
        <v>9</v>
      </c>
      <c r="V6" s="28" t="s">
        <v>10</v>
      </c>
      <c r="W6" s="29"/>
      <c r="X6" s="30" t="s">
        <v>11</v>
      </c>
      <c r="Y6" s="31"/>
      <c r="Z6" s="32" t="s">
        <v>12</v>
      </c>
      <c r="AA6" s="33"/>
      <c r="AB6" s="34"/>
      <c r="AC6" s="31"/>
      <c r="AD6" s="35" t="s">
        <v>12</v>
      </c>
      <c r="AE6" s="36"/>
      <c r="AF6" s="37"/>
      <c r="AH6" s="38" t="s">
        <v>12</v>
      </c>
      <c r="AI6" s="39"/>
      <c r="AJ6" s="40"/>
    </row>
    <row r="7" spans="1:36" s="7" customFormat="1" x14ac:dyDescent="0.3">
      <c r="A7" s="13"/>
      <c r="B7" s="13"/>
      <c r="C7" s="13"/>
      <c r="D7" s="13"/>
      <c r="E7" s="41" t="s">
        <v>12</v>
      </c>
      <c r="F7" s="42" t="s">
        <v>13</v>
      </c>
      <c r="G7" s="43" t="s">
        <v>14</v>
      </c>
      <c r="H7" s="44" t="s">
        <v>15</v>
      </c>
      <c r="I7" s="45" t="s">
        <v>16</v>
      </c>
      <c r="J7" s="45" t="s">
        <v>9</v>
      </c>
      <c r="K7" s="46" t="s">
        <v>17</v>
      </c>
      <c r="L7" s="46" t="s">
        <v>18</v>
      </c>
      <c r="M7" s="47" t="s">
        <v>19</v>
      </c>
      <c r="N7" s="48" t="s">
        <v>17</v>
      </c>
      <c r="O7" s="48" t="s">
        <v>18</v>
      </c>
      <c r="P7" s="47" t="s">
        <v>20</v>
      </c>
      <c r="Q7" s="49" t="s">
        <v>21</v>
      </c>
      <c r="R7" s="50" t="s">
        <v>22</v>
      </c>
      <c r="S7" s="50" t="s">
        <v>23</v>
      </c>
      <c r="T7" s="42" t="s">
        <v>24</v>
      </c>
      <c r="U7" s="51" t="s">
        <v>25</v>
      </c>
      <c r="V7" s="49" t="s">
        <v>26</v>
      </c>
      <c r="W7" s="52" t="s">
        <v>27</v>
      </c>
      <c r="X7" s="53" t="s">
        <v>28</v>
      </c>
      <c r="Y7" s="54"/>
      <c r="Z7" s="55" t="s">
        <v>8</v>
      </c>
      <c r="AA7" s="56"/>
      <c r="AB7" s="57"/>
      <c r="AC7" s="54"/>
      <c r="AD7" s="58" t="s">
        <v>8</v>
      </c>
      <c r="AE7" s="59"/>
      <c r="AF7" s="60"/>
      <c r="AH7" s="61" t="s">
        <v>8</v>
      </c>
      <c r="AI7" s="62"/>
      <c r="AJ7" s="63"/>
    </row>
    <row r="8" spans="1:36" s="7" customFormat="1" x14ac:dyDescent="0.3">
      <c r="A8" s="13"/>
      <c r="B8" s="64"/>
      <c r="C8" s="64"/>
      <c r="D8" s="64"/>
      <c r="E8" s="65"/>
      <c r="F8" s="45"/>
      <c r="G8" s="66" t="s">
        <v>29</v>
      </c>
      <c r="H8" s="44" t="s">
        <v>30</v>
      </c>
      <c r="I8" s="50" t="s">
        <v>31</v>
      </c>
      <c r="J8" s="50"/>
      <c r="K8" s="67" t="s">
        <v>32</v>
      </c>
      <c r="L8" s="67" t="s">
        <v>33</v>
      </c>
      <c r="M8" s="68" t="s">
        <v>7</v>
      </c>
      <c r="N8" s="69" t="s">
        <v>32</v>
      </c>
      <c r="O8" s="69" t="s">
        <v>33</v>
      </c>
      <c r="P8" s="68" t="s">
        <v>7</v>
      </c>
      <c r="Q8" s="70">
        <v>44834</v>
      </c>
      <c r="R8" s="50"/>
      <c r="S8" s="50"/>
      <c r="T8" s="52" t="s">
        <v>34</v>
      </c>
      <c r="U8" s="51" t="s">
        <v>35</v>
      </c>
      <c r="V8" s="71"/>
      <c r="W8" s="52"/>
      <c r="X8" s="72" t="s">
        <v>36</v>
      </c>
      <c r="Y8" s="54"/>
      <c r="Z8" s="73" t="s">
        <v>37</v>
      </c>
      <c r="AA8" s="74" t="s">
        <v>38</v>
      </c>
      <c r="AB8" s="75" t="s">
        <v>39</v>
      </c>
      <c r="AC8" s="54"/>
      <c r="AD8" s="76" t="s">
        <v>40</v>
      </c>
      <c r="AE8" s="77" t="s">
        <v>38</v>
      </c>
      <c r="AF8" s="78" t="s">
        <v>39</v>
      </c>
      <c r="AH8" s="79" t="s">
        <v>41</v>
      </c>
      <c r="AI8" s="80" t="s">
        <v>38</v>
      </c>
      <c r="AJ8" s="81" t="s">
        <v>39</v>
      </c>
    </row>
    <row r="9" spans="1:36" s="7" customFormat="1" ht="15.75" customHeight="1" thickBot="1" x14ac:dyDescent="0.35">
      <c r="A9" s="82"/>
      <c r="B9" s="82"/>
      <c r="C9" s="82"/>
      <c r="D9" s="83"/>
      <c r="E9" s="84">
        <v>44742</v>
      </c>
      <c r="F9" s="85"/>
      <c r="G9" s="86"/>
      <c r="H9" s="87"/>
      <c r="I9" s="85" t="s">
        <v>42</v>
      </c>
      <c r="J9" s="85"/>
      <c r="K9" s="88" t="s">
        <v>43</v>
      </c>
      <c r="L9" s="88" t="s">
        <v>43</v>
      </c>
      <c r="M9" s="89"/>
      <c r="N9" s="90" t="s">
        <v>44</v>
      </c>
      <c r="O9" s="90" t="s">
        <v>44</v>
      </c>
      <c r="P9" s="91">
        <v>45016</v>
      </c>
      <c r="Q9" s="92"/>
      <c r="R9" s="93"/>
      <c r="S9" s="93"/>
      <c r="T9" s="93"/>
      <c r="U9" s="94" t="s">
        <v>45</v>
      </c>
      <c r="V9" s="95"/>
      <c r="W9" s="96"/>
      <c r="X9" s="97"/>
      <c r="Y9" s="54"/>
      <c r="Z9" s="98"/>
      <c r="AA9" s="99"/>
      <c r="AB9" s="100"/>
      <c r="AC9" s="54"/>
      <c r="AD9" s="101"/>
      <c r="AE9" s="102"/>
      <c r="AF9" s="103"/>
      <c r="AH9" s="104"/>
      <c r="AI9" s="105"/>
      <c r="AJ9" s="106"/>
    </row>
    <row r="10" spans="1:36" x14ac:dyDescent="0.3">
      <c r="A10" s="12"/>
      <c r="E10" s="107"/>
      <c r="G10" s="108"/>
      <c r="H10" s="109"/>
      <c r="I10" s="12"/>
      <c r="J10" s="12"/>
      <c r="K10" s="12"/>
      <c r="L10" s="12"/>
      <c r="M10" s="12"/>
      <c r="N10" s="12"/>
      <c r="O10" s="12"/>
      <c r="P10" s="12"/>
      <c r="Q10" s="110"/>
      <c r="R10" s="12"/>
      <c r="S10" s="12"/>
      <c r="T10" s="111"/>
      <c r="U10" s="112"/>
      <c r="V10" s="109"/>
      <c r="W10" s="108"/>
      <c r="X10" s="109"/>
      <c r="Y10" s="113"/>
      <c r="Z10" s="109"/>
      <c r="AA10" s="114"/>
      <c r="AB10" s="115"/>
      <c r="AC10" s="113"/>
      <c r="AD10" s="109"/>
      <c r="AE10" s="114"/>
      <c r="AF10" s="115"/>
      <c r="AH10" s="109"/>
      <c r="AI10" s="114"/>
      <c r="AJ10" s="115"/>
    </row>
    <row r="11" spans="1:36" ht="13.35" hidden="1" customHeight="1" outlineLevel="1" x14ac:dyDescent="0.3">
      <c r="A11" s="116" t="s">
        <v>46</v>
      </c>
      <c r="E11" s="109"/>
      <c r="G11" s="115"/>
      <c r="H11" s="109"/>
      <c r="I11" s="12"/>
      <c r="J11" s="12"/>
      <c r="K11" s="12"/>
      <c r="L11" s="12"/>
      <c r="M11" s="12"/>
      <c r="N11" s="12"/>
      <c r="O11" s="12"/>
      <c r="P11" s="12"/>
      <c r="Q11" s="110"/>
      <c r="R11" s="12"/>
      <c r="S11" s="12"/>
      <c r="U11" s="113"/>
      <c r="V11" s="109"/>
      <c r="W11" s="115"/>
      <c r="X11" s="109"/>
      <c r="Y11" s="113"/>
      <c r="Z11" s="109"/>
      <c r="AA11" s="114"/>
      <c r="AB11" s="115"/>
      <c r="AC11" s="113"/>
      <c r="AD11" s="109"/>
      <c r="AE11" s="114"/>
      <c r="AF11" s="115"/>
      <c r="AH11" s="109"/>
      <c r="AI11" s="114"/>
      <c r="AJ11" s="115"/>
    </row>
    <row r="12" spans="1:36" s="133" customFormat="1" ht="13.35" hidden="1" customHeight="1" outlineLevel="1" x14ac:dyDescent="0.3">
      <c r="A12" s="117" t="s">
        <v>47</v>
      </c>
      <c r="B12" s="117" t="s">
        <v>48</v>
      </c>
      <c r="C12" s="117"/>
      <c r="D12" s="118" t="s">
        <v>49</v>
      </c>
      <c r="E12" s="119"/>
      <c r="F12" s="120">
        <v>1729.93</v>
      </c>
      <c r="G12" s="121">
        <f>E12-F12</f>
        <v>-1729.93</v>
      </c>
      <c r="H12" s="122">
        <f>143671000+959300</f>
        <v>144630300</v>
      </c>
      <c r="I12" s="123">
        <v>144630300</v>
      </c>
      <c r="J12" s="124">
        <f>I12-H12</f>
        <v>0</v>
      </c>
      <c r="K12" s="125">
        <f>33037900+101400+38544200+202800+127900</f>
        <v>72014200</v>
      </c>
      <c r="L12" s="125">
        <v>72000</v>
      </c>
      <c r="M12" s="123">
        <f>K12+L12</f>
        <v>72086200</v>
      </c>
      <c r="N12" s="123">
        <f>38544200+33037800+101400+101300+959300-127900</f>
        <v>72616100</v>
      </c>
      <c r="O12" s="123">
        <v>1443700</v>
      </c>
      <c r="P12" s="123">
        <f t="shared" ref="P12:P21" si="0">M12+N12+O12</f>
        <v>146146000</v>
      </c>
      <c r="Q12" s="122">
        <v>70452936.090000004</v>
      </c>
      <c r="R12" s="123">
        <f>[1]Teachers!H18-'[1]Operating Results'!Q12</f>
        <v>71390805.73999998</v>
      </c>
      <c r="S12" s="123">
        <f>SUM(Q12:R12)</f>
        <v>141843741.82999998</v>
      </c>
      <c r="T12" s="126">
        <f>IF(ISERR(Q12/S12),"-",Q12/S12)</f>
        <v>0.49669400412771114</v>
      </c>
      <c r="U12" s="127">
        <f t="shared" ref="U12:U22" si="1">S12-I12</f>
        <v>-2786558.1700000167</v>
      </c>
      <c r="V12" s="127">
        <f>P12-S12</f>
        <v>4302258.1700000167</v>
      </c>
      <c r="W12" s="128">
        <f>IF(ISERR(V12/P12),"-",V12/P12)</f>
        <v>2.9438083628700182E-2</v>
      </c>
      <c r="X12" s="129"/>
      <c r="Y12" s="130"/>
      <c r="Z12" s="131">
        <f>'[1]2021-22'!C45</f>
        <v>139777642.06999999</v>
      </c>
      <c r="AA12" s="132">
        <f>O12-Z12</f>
        <v>-138333942.06999999</v>
      </c>
      <c r="AB12" s="128">
        <f>IF(ISERR(AA12/Z12),"-",AA12/Z12)</f>
        <v>-0.98967145261130529</v>
      </c>
      <c r="AC12" s="130"/>
      <c r="AD12" s="131">
        <v>138179161.40000001</v>
      </c>
      <c r="AE12" s="132">
        <f>S12-AD12</f>
        <v>3664580.4299999774</v>
      </c>
      <c r="AF12" s="128">
        <f>IF(ISERR(AE12/AD12),"-",AE12/AD12)</f>
        <v>2.6520499855920945E-2</v>
      </c>
      <c r="AH12" s="131">
        <f>133588773.74-37.94</f>
        <v>133588735.8</v>
      </c>
      <c r="AI12" s="132">
        <f>S12-AH12</f>
        <v>8255006.0299999863</v>
      </c>
      <c r="AJ12" s="128">
        <f>IF(ISERR(AI12/AH12),"-",AI12/AH12)</f>
        <v>6.1794177335122193E-2</v>
      </c>
    </row>
    <row r="13" spans="1:36" s="133" customFormat="1" ht="13.35" hidden="1" customHeight="1" outlineLevel="1" x14ac:dyDescent="0.3">
      <c r="A13" s="117"/>
      <c r="B13" s="117"/>
      <c r="C13" s="117"/>
      <c r="D13" s="118" t="s">
        <v>50</v>
      </c>
      <c r="E13" s="119"/>
      <c r="F13" s="120">
        <v>1710.82</v>
      </c>
      <c r="G13" s="121">
        <f>E13-F13</f>
        <v>-1710.82</v>
      </c>
      <c r="H13" s="122"/>
      <c r="I13" s="123"/>
      <c r="J13" s="134"/>
      <c r="K13" s="13"/>
      <c r="L13" s="13"/>
      <c r="M13" s="123"/>
      <c r="N13" s="123"/>
      <c r="O13" s="123"/>
      <c r="P13" s="135"/>
      <c r="Q13" s="122"/>
      <c r="R13" s="123"/>
      <c r="S13" s="123"/>
      <c r="T13" s="126"/>
      <c r="U13" s="136"/>
      <c r="V13" s="136"/>
      <c r="W13" s="128"/>
      <c r="X13" s="129"/>
      <c r="Y13" s="130"/>
      <c r="Z13" s="137"/>
      <c r="AA13" s="132"/>
      <c r="AB13" s="128"/>
      <c r="AC13" s="130"/>
      <c r="AD13" s="137"/>
      <c r="AE13" s="132"/>
      <c r="AF13" s="128"/>
      <c r="AH13" s="137"/>
      <c r="AI13" s="132"/>
      <c r="AJ13" s="128"/>
    </row>
    <row r="14" spans="1:36" s="50" customFormat="1" ht="13.35" hidden="1" customHeight="1" outlineLevel="1" x14ac:dyDescent="0.3">
      <c r="A14" s="138" t="s">
        <v>51</v>
      </c>
      <c r="B14" s="138" t="s">
        <v>52</v>
      </c>
      <c r="C14" s="139"/>
      <c r="D14" s="139"/>
      <c r="E14" s="140"/>
      <c r="F14" s="141"/>
      <c r="G14" s="142"/>
      <c r="H14" s="143">
        <f>4059100+33100</f>
        <v>4092200</v>
      </c>
      <c r="I14" s="144">
        <v>4092200</v>
      </c>
      <c r="J14" s="145">
        <f>I14-H14</f>
        <v>0</v>
      </c>
      <c r="K14" s="13">
        <f>850700+312100+3300</f>
        <v>1166100</v>
      </c>
      <c r="L14" s="13">
        <v>2400</v>
      </c>
      <c r="M14" s="135">
        <f>K14+L14</f>
        <v>1168500</v>
      </c>
      <c r="N14" s="135">
        <f>1431200+1465100+33100-3300</f>
        <v>2926100</v>
      </c>
      <c r="O14" s="135">
        <v>49800</v>
      </c>
      <c r="P14" s="135">
        <f t="shared" si="0"/>
        <v>4144400</v>
      </c>
      <c r="Q14" s="146">
        <v>2911407.37</v>
      </c>
      <c r="R14" s="147">
        <f>'[1]Supply Tchs'!P20-'[1]Operating Results'!Q14</f>
        <v>3353286.29</v>
      </c>
      <c r="S14" s="148">
        <f>SUM(Q14:R14)</f>
        <v>6264693.6600000001</v>
      </c>
      <c r="T14" s="149">
        <f t="shared" ref="T14:T23" si="2">IF(ISERR(Q14/S14),"-",Q14/S14)</f>
        <v>0.46473259955060597</v>
      </c>
      <c r="U14" s="150">
        <f t="shared" si="1"/>
        <v>2172493.66</v>
      </c>
      <c r="V14" s="150">
        <f t="shared" ref="V14:V22" si="3">P14-S14</f>
        <v>-2120293.66</v>
      </c>
      <c r="W14" s="128">
        <f>IF(ISERR(V14/P14),"-",V14/P14)</f>
        <v>-0.51160449280957443</v>
      </c>
      <c r="X14" s="151"/>
      <c r="Y14" s="152"/>
      <c r="Z14" s="143">
        <f>'[1]2021-22'!C47+'[1]2021-22'!C113</f>
        <v>5657218.0899999999</v>
      </c>
      <c r="AA14" s="153">
        <f>O14-Z14</f>
        <v>-5607418.0899999999</v>
      </c>
      <c r="AB14" s="128">
        <f>IF(ISERR(AA14/Z14),"-",AA14/Z14)</f>
        <v>-0.99119708676460094</v>
      </c>
      <c r="AC14" s="152"/>
      <c r="AD14" s="143">
        <v>5720710.290000001</v>
      </c>
      <c r="AE14" s="153">
        <f>S14-AD14</f>
        <v>543983.36999999918</v>
      </c>
      <c r="AF14" s="128">
        <f>IF(ISERR(AE14/AD14),"-",AE14/AD14)</f>
        <v>9.5090179789544815E-2</v>
      </c>
      <c r="AH14" s="143">
        <f>5204095.43+301304.12</f>
        <v>5505399.5499999998</v>
      </c>
      <c r="AI14" s="153">
        <f>S14-AH14</f>
        <v>759294.11000000034</v>
      </c>
      <c r="AJ14" s="128">
        <f t="shared" ref="AJ14:AJ17" si="4">IF(ISERR(AI14/AH14),"-",AI14/AH14)</f>
        <v>0.13791807535567521</v>
      </c>
    </row>
    <row r="15" spans="1:36" s="50" customFormat="1" ht="13.35" hidden="1" customHeight="1" outlineLevel="1" x14ac:dyDescent="0.3">
      <c r="A15" s="154"/>
      <c r="B15" s="154" t="s">
        <v>53</v>
      </c>
      <c r="C15" s="155"/>
      <c r="D15" s="155"/>
      <c r="E15" s="156"/>
      <c r="F15" s="157"/>
      <c r="G15" s="158"/>
      <c r="H15" s="159">
        <v>28000</v>
      </c>
      <c r="I15" s="160">
        <v>28000</v>
      </c>
      <c r="J15" s="161">
        <f>I15-H15</f>
        <v>0</v>
      </c>
      <c r="K15" s="162">
        <v>28000</v>
      </c>
      <c r="L15" s="162"/>
      <c r="M15" s="163">
        <f>K15+L15</f>
        <v>28000</v>
      </c>
      <c r="N15" s="163"/>
      <c r="O15" s="163"/>
      <c r="P15" s="163">
        <f t="shared" si="0"/>
        <v>28000</v>
      </c>
      <c r="Q15" s="164">
        <v>795.52</v>
      </c>
      <c r="R15" s="165"/>
      <c r="S15" s="166">
        <f>SUM(Q15:R15)</f>
        <v>795.52</v>
      </c>
      <c r="T15" s="167">
        <f>IF(ISERR(Q15/S15),"-",Q15/S15)</f>
        <v>1</v>
      </c>
      <c r="U15" s="168">
        <f t="shared" si="1"/>
        <v>-27204.48</v>
      </c>
      <c r="V15" s="168">
        <f>P15-S15</f>
        <v>27204.48</v>
      </c>
      <c r="W15" s="169">
        <f>IF(ISERR(V15/P15),"-",V15/P15)</f>
        <v>0.97158857142857147</v>
      </c>
      <c r="X15" s="151"/>
      <c r="Y15" s="152"/>
      <c r="Z15" s="143"/>
      <c r="AA15" s="153"/>
      <c r="AB15" s="128"/>
      <c r="AC15" s="152"/>
      <c r="AD15" s="143"/>
      <c r="AE15" s="153"/>
      <c r="AF15" s="128"/>
      <c r="AH15" s="143"/>
      <c r="AI15" s="153"/>
      <c r="AJ15" s="128"/>
    </row>
    <row r="16" spans="1:36" s="170" customFormat="1" ht="13.35" hidden="1" customHeight="1" outlineLevel="1" x14ac:dyDescent="0.3">
      <c r="A16" s="117" t="s">
        <v>54</v>
      </c>
      <c r="B16" s="117" t="s">
        <v>55</v>
      </c>
      <c r="E16" s="171"/>
      <c r="F16" s="172"/>
      <c r="G16" s="173"/>
      <c r="H16" s="143">
        <f>2712800+10500+9000*2+5300+1500*2</f>
        <v>2749600</v>
      </c>
      <c r="I16" s="144"/>
      <c r="J16" s="145">
        <f t="shared" ref="J16:J22" si="5">I16-H16</f>
        <v>-2749600</v>
      </c>
      <c r="K16" s="13">
        <f>374800+393600</f>
        <v>768400</v>
      </c>
      <c r="L16" s="13"/>
      <c r="M16" s="135">
        <f t="shared" ref="M16:M22" si="6">K16+L16</f>
        <v>768400</v>
      </c>
      <c r="N16" s="135">
        <f>594900+672700</f>
        <v>1267600</v>
      </c>
      <c r="O16" s="135">
        <f>-2036000+86300+95000</f>
        <v>-1854700</v>
      </c>
      <c r="P16" s="135">
        <f t="shared" si="0"/>
        <v>181300</v>
      </c>
      <c r="Q16" s="146"/>
      <c r="R16" s="174"/>
      <c r="S16" s="148">
        <f t="shared" ref="S16:S22" si="7">SUM(Q16:R16)</f>
        <v>0</v>
      </c>
      <c r="T16" s="149" t="str">
        <f t="shared" si="2"/>
        <v>-</v>
      </c>
      <c r="U16" s="150">
        <f t="shared" si="1"/>
        <v>0</v>
      </c>
      <c r="V16" s="150">
        <f t="shared" si="3"/>
        <v>181300</v>
      </c>
      <c r="W16" s="128">
        <f t="shared" ref="W16:W23" si="8">IF(ISERR(V16/P16),"-",V16/P16)</f>
        <v>1</v>
      </c>
      <c r="X16" s="175"/>
      <c r="Y16" s="176"/>
      <c r="Z16" s="143">
        <f>'[1]2021-22'!C46+SUM('[1]2021-22'!C48:C80)+SUM('[1]2021-22'!C85:C86)+SUM('[1]2021-22'!C89:C107)</f>
        <v>4649246.18</v>
      </c>
      <c r="AA16" s="153">
        <f>O16-Z16</f>
        <v>-6503946.1799999997</v>
      </c>
      <c r="AB16" s="128">
        <f>IF(ISERR(AA16/Z16),"-",AA16/Z16)</f>
        <v>-1.3989248854961689</v>
      </c>
      <c r="AC16" s="176"/>
      <c r="AD16" s="143">
        <v>1522023.93</v>
      </c>
      <c r="AE16" s="153">
        <f>S16-AD16</f>
        <v>-1522023.93</v>
      </c>
      <c r="AF16" s="128">
        <f>IF(ISERR(AE16/AD16),"-",AE16/AD16)</f>
        <v>-1</v>
      </c>
      <c r="AH16" s="143">
        <v>2273060.5500000003</v>
      </c>
      <c r="AI16" s="153">
        <f>S16-AH16</f>
        <v>-2273060.5500000003</v>
      </c>
      <c r="AJ16" s="128">
        <f t="shared" si="4"/>
        <v>-1</v>
      </c>
    </row>
    <row r="17" spans="1:36" s="170" customFormat="1" ht="13.35" hidden="1" customHeight="1" outlineLevel="1" x14ac:dyDescent="0.3">
      <c r="A17" s="117" t="s">
        <v>56</v>
      </c>
      <c r="B17" s="117" t="s">
        <v>57</v>
      </c>
      <c r="E17" s="171"/>
      <c r="F17" s="172"/>
      <c r="G17" s="173"/>
      <c r="H17" s="143">
        <v>2809500</v>
      </c>
      <c r="I17" s="177">
        <f>2046660+1078000</f>
        <v>3124660</v>
      </c>
      <c r="J17" s="145">
        <f t="shared" si="5"/>
        <v>315160</v>
      </c>
      <c r="K17" s="13">
        <f>477600+449500</f>
        <v>927100</v>
      </c>
      <c r="L17" s="13">
        <f>1750+1750+1750+100+100+100+100</f>
        <v>5650</v>
      </c>
      <c r="M17" s="135">
        <f t="shared" si="6"/>
        <v>932750</v>
      </c>
      <c r="N17" s="135">
        <f>758600+1123800</f>
        <v>1882400</v>
      </c>
      <c r="O17" s="135">
        <v>315160</v>
      </c>
      <c r="P17" s="135">
        <f t="shared" si="0"/>
        <v>3130310</v>
      </c>
      <c r="Q17" s="146">
        <f>909268.51+15.96</f>
        <v>909284.47</v>
      </c>
      <c r="R17" s="174">
        <f>P17-Q17</f>
        <v>2221025.5300000003</v>
      </c>
      <c r="S17" s="148">
        <f t="shared" ref="S17:S18" si="9">SUM(Q17:R17)</f>
        <v>3130310</v>
      </c>
      <c r="T17" s="149">
        <f t="shared" si="2"/>
        <v>0.29047745111506529</v>
      </c>
      <c r="U17" s="150">
        <f t="shared" si="1"/>
        <v>5650</v>
      </c>
      <c r="V17" s="150">
        <f t="shared" si="3"/>
        <v>0</v>
      </c>
      <c r="W17" s="128">
        <f t="shared" si="8"/>
        <v>0</v>
      </c>
      <c r="X17" s="175"/>
      <c r="Y17" s="176"/>
      <c r="Z17" s="143">
        <f>SUM('[1]2021-22'!C81:C84)+SUM('[1]2021-22'!C87:C88)+SUM('[1]2021-22'!C132:C133)+'[1]2021-22'!C135+SUM('[1]2021-22'!C242:C243)</f>
        <v>1186948.31</v>
      </c>
      <c r="AA17" s="153">
        <f>O17-Z17</f>
        <v>-871788.31</v>
      </c>
      <c r="AB17" s="128">
        <f>IF(ISERR(AA17/Z17),"-",AA17/Z17)</f>
        <v>-0.73447874912092848</v>
      </c>
      <c r="AC17" s="176"/>
      <c r="AD17" s="143">
        <v>1606083.2</v>
      </c>
      <c r="AE17" s="153">
        <f>S17-AD17</f>
        <v>1524226.8</v>
      </c>
      <c r="AF17" s="128">
        <f>IF(ISERR(AE17/AD17),"-",AE17/AD17)</f>
        <v>0.94903352453970014</v>
      </c>
      <c r="AH17" s="143">
        <v>1638439.69</v>
      </c>
      <c r="AI17" s="153">
        <f>S17-AH17</f>
        <v>1491870.31</v>
      </c>
      <c r="AJ17" s="128">
        <f t="shared" si="4"/>
        <v>0.910543316977386</v>
      </c>
    </row>
    <row r="18" spans="1:36" s="170" customFormat="1" ht="13.35" hidden="1" customHeight="1" outlineLevel="1" x14ac:dyDescent="0.3">
      <c r="A18" s="117" t="s">
        <v>54</v>
      </c>
      <c r="B18" s="117" t="s">
        <v>58</v>
      </c>
      <c r="E18" s="171"/>
      <c r="F18" s="172"/>
      <c r="G18" s="173"/>
      <c r="H18" s="143"/>
      <c r="I18" s="177">
        <f>43500+1500+10500+9000+9000+5300+1500+1500</f>
        <v>81800</v>
      </c>
      <c r="J18" s="145">
        <f t="shared" si="5"/>
        <v>81800</v>
      </c>
      <c r="K18" s="13">
        <f>3200+2700+2700+1600+300+1100+900+900+500+200</f>
        <v>14100</v>
      </c>
      <c r="L18" s="13">
        <v>9000</v>
      </c>
      <c r="M18" s="135">
        <f t="shared" si="6"/>
        <v>23100</v>
      </c>
      <c r="N18" s="135">
        <f>3200+3000+2700+2700+2700+2700+1600+1600+400+800+600+700</f>
        <v>22700</v>
      </c>
      <c r="O18" s="135">
        <f>43500+1500</f>
        <v>45000</v>
      </c>
      <c r="P18" s="135">
        <f t="shared" si="0"/>
        <v>90800</v>
      </c>
      <c r="Q18" s="146">
        <f>265784.93+757.63</f>
        <v>266542.56</v>
      </c>
      <c r="R18" s="174">
        <f>200000-Q18</f>
        <v>-66542.559999999998</v>
      </c>
      <c r="S18" s="148">
        <f t="shared" si="9"/>
        <v>200000</v>
      </c>
      <c r="T18" s="149">
        <f t="shared" si="2"/>
        <v>1.3327127999999999</v>
      </c>
      <c r="U18" s="150">
        <f t="shared" si="1"/>
        <v>118200</v>
      </c>
      <c r="V18" s="150">
        <f t="shared" si="3"/>
        <v>-109200</v>
      </c>
      <c r="W18" s="128">
        <f t="shared" si="8"/>
        <v>-1.2026431718061674</v>
      </c>
      <c r="X18" s="175"/>
      <c r="Y18" s="176"/>
      <c r="Z18" s="143"/>
      <c r="AA18" s="153"/>
      <c r="AB18" s="128"/>
      <c r="AC18" s="176"/>
      <c r="AD18" s="143"/>
      <c r="AE18" s="153"/>
      <c r="AF18" s="128"/>
      <c r="AH18" s="143"/>
      <c r="AI18" s="153"/>
      <c r="AJ18" s="128"/>
    </row>
    <row r="19" spans="1:36" ht="13.35" hidden="1" customHeight="1" outlineLevel="1" x14ac:dyDescent="0.3">
      <c r="A19" s="64" t="s">
        <v>59</v>
      </c>
      <c r="B19" s="64" t="s">
        <v>60</v>
      </c>
      <c r="E19" s="178"/>
      <c r="F19" s="179"/>
      <c r="G19" s="180"/>
      <c r="H19" s="181">
        <v>780700</v>
      </c>
      <c r="I19" s="144">
        <v>780700</v>
      </c>
      <c r="J19" s="145">
        <f t="shared" si="5"/>
        <v>0</v>
      </c>
      <c r="K19" s="182">
        <f>228400+204200</f>
        <v>432600</v>
      </c>
      <c r="L19" s="182"/>
      <c r="M19" s="135">
        <f t="shared" si="6"/>
        <v>432600</v>
      </c>
      <c r="N19" s="135">
        <f>163700+184400</f>
        <v>348100</v>
      </c>
      <c r="O19" s="135"/>
      <c r="P19" s="135">
        <f t="shared" si="0"/>
        <v>780700</v>
      </c>
      <c r="Q19" s="183">
        <f>432199.91+5023.3</f>
        <v>437223.20999999996</v>
      </c>
      <c r="R19" s="182">
        <f>P19-Q19</f>
        <v>343476.79000000004</v>
      </c>
      <c r="S19" s="148">
        <f t="shared" si="7"/>
        <v>780700</v>
      </c>
      <c r="T19" s="149">
        <f t="shared" si="2"/>
        <v>0.56003997694376839</v>
      </c>
      <c r="U19" s="150">
        <f t="shared" si="1"/>
        <v>0</v>
      </c>
      <c r="V19" s="150">
        <f t="shared" si="3"/>
        <v>0</v>
      </c>
      <c r="W19" s="128">
        <f t="shared" si="8"/>
        <v>0</v>
      </c>
      <c r="X19" s="184"/>
      <c r="Y19" s="185"/>
      <c r="Z19" s="186">
        <f>'[1]2021-22'!C254</f>
        <v>642127.06999999995</v>
      </c>
      <c r="AA19" s="153">
        <f>O19-Z19</f>
        <v>-642127.06999999995</v>
      </c>
      <c r="AB19" s="128">
        <f>IF(ISERR(AA19/Z19),"-",AA19/Z19)</f>
        <v>-1</v>
      </c>
      <c r="AC19" s="185"/>
      <c r="AD19" s="186">
        <v>751708.31</v>
      </c>
      <c r="AE19" s="153">
        <f>S19-AD19</f>
        <v>28991.689999999944</v>
      </c>
      <c r="AF19" s="128">
        <f>IF(ISERR(AE19/AD19),"-",AE19/AD19)</f>
        <v>3.8567739127428217E-2</v>
      </c>
      <c r="AH19" s="186">
        <v>631242.92000000004</v>
      </c>
      <c r="AI19" s="153">
        <f>S19-AH19</f>
        <v>149457.07999999996</v>
      </c>
      <c r="AJ19" s="128">
        <f t="shared" ref="AJ19:AJ23" si="10">IF(ISERR(AI19/AH19),"-",AI19/AH19)</f>
        <v>0.23676634662294502</v>
      </c>
    </row>
    <row r="20" spans="1:36" ht="13.35" hidden="1" customHeight="1" outlineLevel="1" x14ac:dyDescent="0.3">
      <c r="A20" s="64" t="s">
        <v>61</v>
      </c>
      <c r="B20" s="64" t="s">
        <v>62</v>
      </c>
      <c r="E20" s="178"/>
      <c r="F20" s="179"/>
      <c r="G20" s="180"/>
      <c r="H20" s="181"/>
      <c r="I20" s="144"/>
      <c r="J20" s="145">
        <f t="shared" si="5"/>
        <v>0</v>
      </c>
      <c r="K20" s="182"/>
      <c r="L20" s="182"/>
      <c r="M20" s="135">
        <f t="shared" si="6"/>
        <v>0</v>
      </c>
      <c r="N20" s="135"/>
      <c r="O20" s="135"/>
      <c r="P20" s="135">
        <f t="shared" si="0"/>
        <v>0</v>
      </c>
      <c r="Q20" s="183">
        <v>2691.4</v>
      </c>
      <c r="R20" s="182">
        <f>-Q20</f>
        <v>-2691.4</v>
      </c>
      <c r="S20" s="148">
        <f t="shared" ref="S20" si="11">SUM(Q20:R20)</f>
        <v>0</v>
      </c>
      <c r="T20" s="149" t="str">
        <f t="shared" si="2"/>
        <v>-</v>
      </c>
      <c r="U20" s="150">
        <f t="shared" si="1"/>
        <v>0</v>
      </c>
      <c r="V20" s="150">
        <f t="shared" si="3"/>
        <v>0</v>
      </c>
      <c r="W20" s="128" t="str">
        <f t="shared" si="8"/>
        <v>-</v>
      </c>
      <c r="X20" s="184"/>
      <c r="Y20" s="185"/>
      <c r="Z20" s="186">
        <f>'[1]2021-22'!C267</f>
        <v>6306.31</v>
      </c>
      <c r="AA20" s="153">
        <f>O20-Z20</f>
        <v>-6306.31</v>
      </c>
      <c r="AB20" s="128">
        <f>IF(ISERR(AA20/Z20),"-",AA20/Z20)</f>
        <v>-1</v>
      </c>
      <c r="AC20" s="185"/>
      <c r="AD20" s="186">
        <v>863.24</v>
      </c>
      <c r="AE20" s="153">
        <f>S20-AD20</f>
        <v>-863.24</v>
      </c>
      <c r="AF20" s="128">
        <f>IF(ISERR(AE20/AD20),"-",AE20/AD20)</f>
        <v>-1</v>
      </c>
      <c r="AH20" s="186">
        <v>6579.25</v>
      </c>
      <c r="AI20" s="153">
        <f>S20-AH20</f>
        <v>-6579.25</v>
      </c>
      <c r="AJ20" s="128">
        <f t="shared" si="10"/>
        <v>-1</v>
      </c>
    </row>
    <row r="21" spans="1:36" ht="13.35" hidden="1" customHeight="1" outlineLevel="1" x14ac:dyDescent="0.3">
      <c r="A21" s="64" t="s">
        <v>63</v>
      </c>
      <c r="B21" s="64" t="s">
        <v>64</v>
      </c>
      <c r="E21" s="178"/>
      <c r="F21" s="179"/>
      <c r="G21" s="180"/>
      <c r="H21" s="181">
        <v>223700</v>
      </c>
      <c r="I21" s="144">
        <v>223700</v>
      </c>
      <c r="J21" s="145">
        <f t="shared" si="5"/>
        <v>0</v>
      </c>
      <c r="K21" s="182">
        <f>45500+40000</f>
        <v>85500</v>
      </c>
      <c r="L21" s="182"/>
      <c r="M21" s="135">
        <f t="shared" si="6"/>
        <v>85500</v>
      </c>
      <c r="N21" s="135">
        <f>48700+89500</f>
        <v>138200</v>
      </c>
      <c r="O21" s="135"/>
      <c r="P21" s="135">
        <f t="shared" si="0"/>
        <v>223700</v>
      </c>
      <c r="Q21" s="150">
        <v>-389344.98</v>
      </c>
      <c r="R21" s="182">
        <f>P21-Q21</f>
        <v>613044.98</v>
      </c>
      <c r="S21" s="148">
        <f t="shared" si="7"/>
        <v>223700</v>
      </c>
      <c r="T21" s="149">
        <f t="shared" si="2"/>
        <v>-1.740478229772016</v>
      </c>
      <c r="U21" s="150">
        <f t="shared" si="1"/>
        <v>0</v>
      </c>
      <c r="V21" s="150">
        <f t="shared" si="3"/>
        <v>0</v>
      </c>
      <c r="W21" s="128">
        <f t="shared" si="8"/>
        <v>0</v>
      </c>
      <c r="X21" s="184"/>
      <c r="Y21" s="185"/>
      <c r="Z21" s="186">
        <f>'[1]2021-22'!C301</f>
        <v>226200</v>
      </c>
      <c r="AA21" s="153">
        <f>O21-Z21</f>
        <v>-226200</v>
      </c>
      <c r="AB21" s="128">
        <f>IF(ISERR(AA21/Z21),"-",AA21/Z21)</f>
        <v>-1</v>
      </c>
      <c r="AC21" s="185"/>
      <c r="AD21" s="186">
        <v>223600</v>
      </c>
      <c r="AE21" s="153">
        <f>S21-AD21</f>
        <v>100</v>
      </c>
      <c r="AF21" s="128">
        <f>IF(ISERR(AE21/AD21),"-",AE21/AD21)</f>
        <v>4.4722719141323793E-4</v>
      </c>
      <c r="AH21" s="186">
        <v>224800</v>
      </c>
      <c r="AI21" s="153">
        <f>S21-AH21</f>
        <v>-1100</v>
      </c>
      <c r="AJ21" s="128">
        <f t="shared" si="10"/>
        <v>-4.8932384341637009E-3</v>
      </c>
    </row>
    <row r="22" spans="1:36" ht="13.35" hidden="1" customHeight="1" outlineLevel="1" x14ac:dyDescent="0.3">
      <c r="A22" s="64" t="s">
        <v>65</v>
      </c>
      <c r="B22" s="64" t="s">
        <v>66</v>
      </c>
      <c r="E22" s="178"/>
      <c r="F22" s="179"/>
      <c r="G22" s="180"/>
      <c r="H22" s="187"/>
      <c r="I22" s="177">
        <v>106320</v>
      </c>
      <c r="J22" s="145">
        <f t="shared" si="5"/>
        <v>106320</v>
      </c>
      <c r="K22" s="182"/>
      <c r="L22" s="182"/>
      <c r="M22" s="135">
        <f t="shared" si="6"/>
        <v>0</v>
      </c>
      <c r="N22" s="135"/>
      <c r="O22" s="135">
        <v>106320</v>
      </c>
      <c r="P22" s="135">
        <f>M22+N22+O22</f>
        <v>106320</v>
      </c>
      <c r="Q22" s="150">
        <v>46305.9</v>
      </c>
      <c r="R22" s="182">
        <f>P22-Q22</f>
        <v>60014.1</v>
      </c>
      <c r="S22" s="148">
        <f t="shared" si="7"/>
        <v>106320</v>
      </c>
      <c r="T22" s="149">
        <f t="shared" si="2"/>
        <v>0.43553329571106097</v>
      </c>
      <c r="U22" s="150">
        <f t="shared" si="1"/>
        <v>0</v>
      </c>
      <c r="V22" s="150">
        <f t="shared" si="3"/>
        <v>0</v>
      </c>
      <c r="W22" s="128">
        <f t="shared" si="8"/>
        <v>0</v>
      </c>
      <c r="X22" s="184"/>
      <c r="Y22" s="185"/>
      <c r="Z22" s="186">
        <f>'[1]2021-22'!C806</f>
        <v>40387.129999999997</v>
      </c>
      <c r="AA22" s="153">
        <f>O22-Z22</f>
        <v>65932.87</v>
      </c>
      <c r="AB22" s="128">
        <f>IF(ISERR(AA22/Z22),"-",AA22/Z22)</f>
        <v>1.6325217959285545</v>
      </c>
      <c r="AC22" s="185"/>
      <c r="AD22" s="186">
        <v>86256.1</v>
      </c>
      <c r="AE22" s="153">
        <f>S22-AD22</f>
        <v>20063.899999999994</v>
      </c>
      <c r="AF22" s="128">
        <f>IF(ISERR(AE22/AD22),"-",AE22/AD22)</f>
        <v>0.23260847638601784</v>
      </c>
      <c r="AH22" s="186">
        <v>0</v>
      </c>
      <c r="AI22" s="153">
        <f>S22-AH22</f>
        <v>106320</v>
      </c>
      <c r="AJ22" s="128" t="str">
        <f t="shared" si="10"/>
        <v>-</v>
      </c>
    </row>
    <row r="23" spans="1:36" collapsed="1" x14ac:dyDescent="0.3">
      <c r="A23" s="1" t="s">
        <v>67</v>
      </c>
      <c r="B23" s="12"/>
      <c r="E23" s="188">
        <f>E13</f>
        <v>0</v>
      </c>
      <c r="F23" s="189">
        <f>F13</f>
        <v>1710.82</v>
      </c>
      <c r="G23" s="190">
        <f>G13</f>
        <v>-1710.82</v>
      </c>
      <c r="H23" s="191">
        <f>SUM(H12:H21)</f>
        <v>155314000</v>
      </c>
      <c r="I23" s="191">
        <f t="shared" ref="I23:S23" si="12">SUM(I12:I22)</f>
        <v>153067680</v>
      </c>
      <c r="J23" s="192">
        <f t="shared" si="12"/>
        <v>-2246320</v>
      </c>
      <c r="K23" s="191">
        <f t="shared" si="12"/>
        <v>75436000</v>
      </c>
      <c r="L23" s="191">
        <f t="shared" si="12"/>
        <v>89050</v>
      </c>
      <c r="M23" s="193">
        <f t="shared" si="12"/>
        <v>75525050</v>
      </c>
      <c r="N23" s="193">
        <f t="shared" si="12"/>
        <v>79201200</v>
      </c>
      <c r="O23" s="194">
        <f t="shared" si="12"/>
        <v>105280</v>
      </c>
      <c r="P23" s="193">
        <f t="shared" si="12"/>
        <v>154831530</v>
      </c>
      <c r="Q23" s="195">
        <f t="shared" si="12"/>
        <v>74637841.540000007</v>
      </c>
      <c r="R23" s="193">
        <f t="shared" si="12"/>
        <v>77912419.469999984</v>
      </c>
      <c r="S23" s="193">
        <f t="shared" si="12"/>
        <v>152550261.00999999</v>
      </c>
      <c r="T23" s="196">
        <f t="shared" si="2"/>
        <v>0.48926721623312946</v>
      </c>
      <c r="U23" s="197">
        <f>SUM(U12:U22)</f>
        <v>-517418.99000001652</v>
      </c>
      <c r="V23" s="197">
        <f>SUM(V12:V22)</f>
        <v>2281268.9900000165</v>
      </c>
      <c r="W23" s="198">
        <f t="shared" si="8"/>
        <v>1.4733878751957153E-2</v>
      </c>
      <c r="X23" s="199"/>
      <c r="Y23" s="185"/>
      <c r="Z23" s="200">
        <f>SUM(Z12:Z22)</f>
        <v>152186075.16</v>
      </c>
      <c r="AA23" s="201">
        <f>SUM(AA12:AA22)</f>
        <v>-152125795.16</v>
      </c>
      <c r="AB23" s="198">
        <f>IF(ISERR(AA23/Z23),"-",AA23/Z23)</f>
        <v>-0.99960390594253368</v>
      </c>
      <c r="AC23" s="185"/>
      <c r="AD23" s="200">
        <f>SUM(AD12:AD22)</f>
        <v>148090406.47</v>
      </c>
      <c r="AE23" s="201">
        <f>SUM(AE12:AE22)</f>
        <v>4259059.0199999772</v>
      </c>
      <c r="AF23" s="198">
        <f>IF(ISERR(AE23/AD23),"-",AE23/AD23)</f>
        <v>2.8759857721524812E-2</v>
      </c>
      <c r="AH23" s="200">
        <f>SUM(AH12:AH22)</f>
        <v>143868257.75999999</v>
      </c>
      <c r="AI23" s="201">
        <f>SUM(AI12:AI22)</f>
        <v>8481207.7299999855</v>
      </c>
      <c r="AJ23" s="198">
        <f t="shared" si="10"/>
        <v>5.8951208988352918E-2</v>
      </c>
    </row>
    <row r="24" spans="1:36" ht="13.35" customHeight="1" x14ac:dyDescent="0.3">
      <c r="A24" s="1"/>
      <c r="B24" s="12"/>
      <c r="E24" s="202"/>
      <c r="F24" s="203"/>
      <c r="G24" s="204"/>
      <c r="H24" s="202"/>
      <c r="I24" s="205"/>
      <c r="J24" s="205"/>
      <c r="K24" s="205"/>
      <c r="L24" s="205"/>
      <c r="M24" s="205"/>
      <c r="N24" s="205"/>
      <c r="O24" s="205"/>
      <c r="P24" s="205"/>
      <c r="Q24" s="206"/>
      <c r="R24" s="205"/>
      <c r="S24" s="205"/>
      <c r="T24" s="205"/>
      <c r="U24" s="207"/>
      <c r="V24" s="208"/>
      <c r="W24" s="209"/>
      <c r="X24" s="210"/>
      <c r="Y24" s="211"/>
      <c r="Z24" s="109"/>
      <c r="AA24" s="114"/>
      <c r="AB24" s="115"/>
      <c r="AC24" s="211"/>
      <c r="AD24" s="109"/>
      <c r="AE24" s="114"/>
      <c r="AF24" s="115"/>
      <c r="AH24" s="109"/>
      <c r="AI24" s="114"/>
      <c r="AJ24" s="115"/>
    </row>
    <row r="25" spans="1:36" ht="13.35" customHeight="1" x14ac:dyDescent="0.3">
      <c r="A25" s="12"/>
      <c r="B25" s="12"/>
      <c r="E25" s="202"/>
      <c r="F25" s="203"/>
      <c r="G25" s="204"/>
      <c r="H25" s="202"/>
      <c r="I25" s="212"/>
      <c r="J25" s="212"/>
      <c r="K25" s="213"/>
      <c r="L25" s="213"/>
      <c r="M25" s="214"/>
      <c r="N25" s="214"/>
      <c r="O25" s="214"/>
      <c r="P25" s="214"/>
      <c r="Q25" s="215"/>
      <c r="R25" s="214"/>
      <c r="S25" s="214"/>
      <c r="T25" s="214"/>
      <c r="U25" s="216"/>
      <c r="V25" s="217"/>
      <c r="W25" s="218"/>
      <c r="X25" s="184"/>
      <c r="Y25" s="185"/>
      <c r="Z25" s="109"/>
      <c r="AA25" s="114"/>
      <c r="AB25" s="115"/>
      <c r="AC25" s="185"/>
      <c r="AD25" s="109"/>
      <c r="AE25" s="114"/>
      <c r="AF25" s="115"/>
      <c r="AH25" s="109"/>
      <c r="AI25" s="114"/>
      <c r="AJ25" s="115"/>
    </row>
    <row r="26" spans="1:36" ht="13.35" hidden="1" customHeight="1" outlineLevel="1" x14ac:dyDescent="0.3">
      <c r="A26" s="116" t="s">
        <v>68</v>
      </c>
      <c r="B26" s="12"/>
      <c r="E26" s="202"/>
      <c r="F26" s="203"/>
      <c r="G26" s="204"/>
      <c r="H26" s="202"/>
      <c r="I26" s="182"/>
      <c r="J26" s="182"/>
      <c r="K26" s="219"/>
      <c r="L26" s="219"/>
      <c r="M26" s="220"/>
      <c r="N26" s="220"/>
      <c r="O26" s="220"/>
      <c r="P26" s="220"/>
      <c r="Q26" s="221"/>
      <c r="R26" s="220"/>
      <c r="S26" s="220"/>
      <c r="T26" s="220"/>
      <c r="U26" s="222"/>
      <c r="V26" s="217"/>
      <c r="W26" s="218"/>
      <c r="X26" s="184"/>
      <c r="Y26" s="185"/>
      <c r="Z26" s="109"/>
      <c r="AA26" s="114"/>
      <c r="AB26" s="115"/>
      <c r="AC26" s="185"/>
      <c r="AD26" s="109"/>
      <c r="AE26" s="114"/>
      <c r="AF26" s="115"/>
      <c r="AH26" s="109"/>
      <c r="AI26" s="114"/>
      <c r="AJ26" s="115"/>
    </row>
    <row r="27" spans="1:36" s="170" customFormat="1" ht="13.35" hidden="1" customHeight="1" outlineLevel="1" x14ac:dyDescent="0.25">
      <c r="A27" s="117" t="s">
        <v>69</v>
      </c>
      <c r="B27" s="117" t="s">
        <v>70</v>
      </c>
      <c r="E27" s="171"/>
      <c r="F27" s="172"/>
      <c r="G27" s="173"/>
      <c r="H27" s="143"/>
      <c r="I27" s="177">
        <v>200000</v>
      </c>
      <c r="J27" s="145">
        <f t="shared" ref="J27:J38" si="13">I27-H27</f>
        <v>200000</v>
      </c>
      <c r="K27" s="223"/>
      <c r="L27" s="223">
        <f>1797.3+11808.8</f>
        <v>13606.099999999999</v>
      </c>
      <c r="M27" s="135">
        <f t="shared" ref="M27:M38" si="14">K27+L27</f>
        <v>13606.099999999999</v>
      </c>
      <c r="N27" s="135"/>
      <c r="O27" s="135">
        <v>200000</v>
      </c>
      <c r="P27" s="135">
        <f t="shared" ref="P27:P38" si="15">M27+N27+O27</f>
        <v>213606.1</v>
      </c>
      <c r="Q27" s="146">
        <v>221863.9</v>
      </c>
      <c r="R27" s="174">
        <f>P27-Q27</f>
        <v>-8257.7999999999884</v>
      </c>
      <c r="S27" s="144">
        <f t="shared" ref="S27:S28" si="16">SUM(Q27:R27)</f>
        <v>213606.1</v>
      </c>
      <c r="T27" s="126">
        <f t="shared" ref="T27:T28" si="17">IF(ISERR(Q27/S27),"-",Q27/S27)</f>
        <v>1.0386590083335634</v>
      </c>
      <c r="U27" s="224">
        <f t="shared" ref="U27:U38" si="18">S27-I27</f>
        <v>13606.100000000006</v>
      </c>
      <c r="V27" s="225">
        <f t="shared" ref="V27:V38" si="19">P27-S27</f>
        <v>0</v>
      </c>
      <c r="W27" s="128">
        <f t="shared" ref="W27:W28" si="20">IF(ISERR(V27/P27),"-",V27/P27)</f>
        <v>0</v>
      </c>
      <c r="X27" s="226"/>
      <c r="Y27" s="227"/>
      <c r="Z27" s="131">
        <f>'[1]2021-22'!C112+SUM('[1]2021-22'!C114:C131)+'[1]2021-22'!C134+SUM('[1]2021-22'!C136:C146)</f>
        <v>722513.42</v>
      </c>
      <c r="AA27" s="228">
        <f>O27-Z27</f>
        <v>-522513.42000000004</v>
      </c>
      <c r="AB27" s="128">
        <f>IF(ISERR(AA27/Z27),"-",AA27/Z27)</f>
        <v>-0.72318853260884763</v>
      </c>
      <c r="AC27" s="227"/>
      <c r="AD27" s="131">
        <v>404900.30000000005</v>
      </c>
      <c r="AE27" s="228">
        <f>S27-AD27</f>
        <v>-191294.20000000004</v>
      </c>
      <c r="AF27" s="128">
        <f>IF(ISERR(AE27/AD27),"-",AE27/AD27)</f>
        <v>-0.4724476618071165</v>
      </c>
      <c r="AH27" s="131">
        <v>441765.51</v>
      </c>
      <c r="AI27" s="228">
        <f>S27-AH27</f>
        <v>-228159.41</v>
      </c>
      <c r="AJ27" s="128">
        <f>IF(ISERR(AI27/AH27),"-",AI27/AH27)</f>
        <v>-0.51647175896552</v>
      </c>
    </row>
    <row r="28" spans="1:36" s="170" customFormat="1" ht="13.35" hidden="1" customHeight="1" outlineLevel="1" x14ac:dyDescent="0.25">
      <c r="A28" s="117" t="s">
        <v>71</v>
      </c>
      <c r="B28" s="117" t="s">
        <v>72</v>
      </c>
      <c r="D28" s="118" t="s">
        <v>49</v>
      </c>
      <c r="E28" s="119"/>
      <c r="F28" s="120">
        <f>612+3.28</f>
        <v>615.28</v>
      </c>
      <c r="G28" s="121">
        <f>E28-F28</f>
        <v>-615.28</v>
      </c>
      <c r="H28" s="143">
        <f>23473800+95000</f>
        <v>23568800</v>
      </c>
      <c r="I28" s="144">
        <v>23568800</v>
      </c>
      <c r="J28" s="145">
        <f t="shared" si="13"/>
        <v>0</v>
      </c>
      <c r="K28" s="223">
        <f>7268500+30100+2502300+9200</f>
        <v>9810100</v>
      </c>
      <c r="L28" s="223"/>
      <c r="M28" s="135">
        <f t="shared" si="14"/>
        <v>9810100</v>
      </c>
      <c r="N28" s="135">
        <f>7149400+6553600+29100+26600</f>
        <v>13758700</v>
      </c>
      <c r="O28" s="135"/>
      <c r="P28" s="135">
        <f t="shared" si="15"/>
        <v>23568800</v>
      </c>
      <c r="Q28" s="146">
        <v>10090541.050000001</v>
      </c>
      <c r="R28" s="174">
        <f>[1]EA!I18-'[1]Operating Results'!Q28</f>
        <v>15139216.07</v>
      </c>
      <c r="S28" s="144">
        <f t="shared" si="16"/>
        <v>25229757.120000001</v>
      </c>
      <c r="T28" s="126">
        <f t="shared" si="17"/>
        <v>0.39994602413358471</v>
      </c>
      <c r="U28" s="224">
        <f t="shared" si="18"/>
        <v>1660957.120000001</v>
      </c>
      <c r="V28" s="225">
        <f t="shared" si="19"/>
        <v>-1660957.120000001</v>
      </c>
      <c r="W28" s="128">
        <f t="shared" si="20"/>
        <v>-7.047270628967113E-2</v>
      </c>
      <c r="Y28" s="229"/>
      <c r="Z28" s="143">
        <f>'[1]2021-22'!C323</f>
        <v>26633006.329999998</v>
      </c>
      <c r="AA28" s="153">
        <f>O28-Z28</f>
        <v>-26633006.329999998</v>
      </c>
      <c r="AB28" s="128">
        <f>IF(ISERR(AA28/Z28),"-",AA28/Z28)</f>
        <v>-1</v>
      </c>
      <c r="AC28" s="229"/>
      <c r="AD28" s="143">
        <v>17360452.969999999</v>
      </c>
      <c r="AE28" s="153">
        <f>S28-AD28</f>
        <v>7869304.1500000022</v>
      </c>
      <c r="AF28" s="128">
        <f>IF(ISERR(AE28/AD28),"-",AE28/AD28)</f>
        <v>0.45328910274395928</v>
      </c>
      <c r="AH28" s="143">
        <v>15896579.539999999</v>
      </c>
      <c r="AI28" s="153">
        <f>S28-AH28</f>
        <v>9333177.5800000019</v>
      </c>
      <c r="AJ28" s="128">
        <f t="shared" ref="AJ28" si="21">IF(ISERR(AI28/AH28),"-",AI28/AH28)</f>
        <v>0.58711860350305289</v>
      </c>
    </row>
    <row r="29" spans="1:36" s="170" customFormat="1" ht="13.35" hidden="1" customHeight="1" outlineLevel="1" x14ac:dyDescent="0.25">
      <c r="A29" s="117"/>
      <c r="B29" s="117"/>
      <c r="D29" s="118" t="s">
        <v>50</v>
      </c>
      <c r="E29" s="119"/>
      <c r="F29" s="120">
        <f>F28</f>
        <v>615.28</v>
      </c>
      <c r="G29" s="121">
        <f>E29-F29</f>
        <v>-615.28</v>
      </c>
      <c r="H29" s="143"/>
      <c r="I29" s="144"/>
      <c r="J29" s="145"/>
      <c r="K29" s="223"/>
      <c r="L29" s="223"/>
      <c r="M29" s="135">
        <f t="shared" si="14"/>
        <v>0</v>
      </c>
      <c r="N29" s="135"/>
      <c r="O29" s="135"/>
      <c r="P29" s="135"/>
      <c r="Q29" s="146"/>
      <c r="R29" s="174"/>
      <c r="S29" s="144"/>
      <c r="T29" s="126"/>
      <c r="U29" s="224"/>
      <c r="V29" s="225"/>
      <c r="W29" s="128"/>
      <c r="Y29" s="229"/>
      <c r="Z29" s="143"/>
      <c r="AA29" s="153"/>
      <c r="AB29" s="128"/>
      <c r="AC29" s="229"/>
      <c r="AD29" s="143"/>
      <c r="AE29" s="153"/>
      <c r="AF29" s="128"/>
      <c r="AH29" s="143"/>
      <c r="AI29" s="153"/>
      <c r="AJ29" s="128"/>
    </row>
    <row r="30" spans="1:36" s="170" customFormat="1" ht="13.35" hidden="1" customHeight="1" outlineLevel="1" x14ac:dyDescent="0.25">
      <c r="A30" s="117" t="s">
        <v>73</v>
      </c>
      <c r="B30" s="117" t="s">
        <v>74</v>
      </c>
      <c r="D30" s="118"/>
      <c r="E30" s="230"/>
      <c r="F30" s="120"/>
      <c r="G30" s="121"/>
      <c r="H30" s="143"/>
      <c r="I30" s="144"/>
      <c r="J30" s="145">
        <f t="shared" ref="J30" si="22">I30-H30</f>
        <v>0</v>
      </c>
      <c r="K30" s="223"/>
      <c r="L30" s="223"/>
      <c r="M30" s="135">
        <f t="shared" si="14"/>
        <v>0</v>
      </c>
      <c r="N30" s="135"/>
      <c r="O30" s="135"/>
      <c r="P30" s="135">
        <f t="shared" si="15"/>
        <v>0</v>
      </c>
      <c r="Q30" s="146">
        <f>153210.92+160.99</f>
        <v>153371.91</v>
      </c>
      <c r="R30" s="174">
        <f>[1]EA!I69-'[1]Operating Results'!Q30</f>
        <v>62830.459999999992</v>
      </c>
      <c r="S30" s="144">
        <f t="shared" ref="S30:S38" si="23">SUM(Q30:R30)</f>
        <v>216202.37</v>
      </c>
      <c r="T30" s="126">
        <f t="shared" ref="T30:T38" si="24">IF(ISERR(Q30/S30),"-",Q30/S30)</f>
        <v>0.70939051223166516</v>
      </c>
      <c r="U30" s="224">
        <f t="shared" si="18"/>
        <v>216202.37</v>
      </c>
      <c r="V30" s="225">
        <f t="shared" si="19"/>
        <v>-216202.37</v>
      </c>
      <c r="W30" s="128" t="str">
        <f t="shared" ref="W30:W36" si="25">IF(ISERR(V30/P30),"-",V30/P30)</f>
        <v>-</v>
      </c>
      <c r="X30" s="175"/>
      <c r="Y30" s="176"/>
      <c r="Z30" s="143">
        <f>'[1]2021-22'!C324</f>
        <v>265505.84999999998</v>
      </c>
      <c r="AA30" s="153">
        <f>O30-Z30</f>
        <v>-265505.84999999998</v>
      </c>
      <c r="AB30" s="128">
        <f>IF(ISERR(AA30/Z30),"-",AA30/Z30)</f>
        <v>-1</v>
      </c>
      <c r="AC30" s="176"/>
      <c r="AD30" s="143">
        <v>209529.43</v>
      </c>
      <c r="AE30" s="153">
        <f>S30-AD30</f>
        <v>6672.9400000000023</v>
      </c>
      <c r="AF30" s="128">
        <f>IF(ISERR(AE30/AD30),"-",AE30/AD30)</f>
        <v>3.1847268424297255E-2</v>
      </c>
      <c r="AH30" s="143">
        <v>195640.69</v>
      </c>
      <c r="AI30" s="153">
        <f>S30-AH30</f>
        <v>20561.679999999993</v>
      </c>
      <c r="AJ30" s="128">
        <f t="shared" ref="AJ30:AJ36" si="26">IF(ISERR(AI30/AH30),"-",AI30/AH30)</f>
        <v>0.10509919996704159</v>
      </c>
    </row>
    <row r="31" spans="1:36" s="170" customFormat="1" ht="13.35" hidden="1" customHeight="1" outlineLevel="1" x14ac:dyDescent="0.25">
      <c r="A31" s="117" t="s">
        <v>75</v>
      </c>
      <c r="B31" s="117" t="s">
        <v>76</v>
      </c>
      <c r="E31" s="171"/>
      <c r="F31" s="172"/>
      <c r="G31" s="173"/>
      <c r="H31" s="143">
        <v>1286900</v>
      </c>
      <c r="I31" s="144">
        <v>1286900</v>
      </c>
      <c r="J31" s="145">
        <f t="shared" si="13"/>
        <v>0</v>
      </c>
      <c r="K31" s="223">
        <f>335700+122800</f>
        <v>458500</v>
      </c>
      <c r="L31" s="223"/>
      <c r="M31" s="135">
        <f t="shared" si="14"/>
        <v>458500</v>
      </c>
      <c r="N31" s="135">
        <f>425500+402900</f>
        <v>828400</v>
      </c>
      <c r="O31" s="135"/>
      <c r="P31" s="135">
        <f t="shared" si="15"/>
        <v>1286900</v>
      </c>
      <c r="Q31" s="146">
        <v>2664173.62</v>
      </c>
      <c r="R31" s="174">
        <f>[1]EA!I114-'[1]Operating Results'!Q31</f>
        <v>944318.08000000007</v>
      </c>
      <c r="S31" s="144">
        <f t="shared" si="23"/>
        <v>3608491.7</v>
      </c>
      <c r="T31" s="126">
        <f t="shared" si="24"/>
        <v>0.73830670581838942</v>
      </c>
      <c r="U31" s="224">
        <f t="shared" si="18"/>
        <v>2321591.7000000002</v>
      </c>
      <c r="V31" s="225">
        <f t="shared" si="19"/>
        <v>-2321591.7000000002</v>
      </c>
      <c r="W31" s="128">
        <f t="shared" si="25"/>
        <v>-1.8040187271738288</v>
      </c>
      <c r="X31" s="175"/>
      <c r="Y31" s="176"/>
      <c r="Z31" s="143">
        <f>'[1]2021-22'!C325</f>
        <v>3542054.38</v>
      </c>
      <c r="AA31" s="153">
        <f>O31-Z31</f>
        <v>-3542054.38</v>
      </c>
      <c r="AB31" s="128">
        <f>IF(ISERR(AA31/Z31),"-",AA31/Z31)</f>
        <v>-1</v>
      </c>
      <c r="AC31" s="176"/>
      <c r="AD31" s="143">
        <v>2439975.67</v>
      </c>
      <c r="AE31" s="153">
        <f>S31-AD31</f>
        <v>1168516.0300000003</v>
      </c>
      <c r="AF31" s="128">
        <f>IF(ISERR(AE31/AD31),"-",AE31/AD31)</f>
        <v>0.47890478760388633</v>
      </c>
      <c r="AH31" s="143">
        <v>2239291.2000000002</v>
      </c>
      <c r="AI31" s="153">
        <f>S31-AH31</f>
        <v>1369200.5</v>
      </c>
      <c r="AJ31" s="128">
        <f t="shared" si="26"/>
        <v>0.61144370147125116</v>
      </c>
    </row>
    <row r="32" spans="1:36" s="170" customFormat="1" ht="13.35" hidden="1" customHeight="1" outlineLevel="1" x14ac:dyDescent="0.25">
      <c r="A32" s="231" t="s">
        <v>71</v>
      </c>
      <c r="B32" s="154" t="s">
        <v>77</v>
      </c>
      <c r="C32" s="155"/>
      <c r="D32" s="155"/>
      <c r="E32" s="156"/>
      <c r="F32" s="157"/>
      <c r="G32" s="158"/>
      <c r="H32" s="159"/>
      <c r="I32" s="160"/>
      <c r="J32" s="161">
        <f t="shared" si="13"/>
        <v>0</v>
      </c>
      <c r="K32" s="232"/>
      <c r="L32" s="232"/>
      <c r="M32" s="163">
        <f t="shared" si="14"/>
        <v>0</v>
      </c>
      <c r="N32" s="163"/>
      <c r="O32" s="163"/>
      <c r="P32" s="163">
        <f t="shared" si="15"/>
        <v>0</v>
      </c>
      <c r="Q32" s="233"/>
      <c r="R32" s="165"/>
      <c r="S32" s="160">
        <f t="shared" ref="S32:S33" si="27">SUM(Q32:R32)</f>
        <v>0</v>
      </c>
      <c r="T32" s="234" t="str">
        <f t="shared" si="24"/>
        <v>-</v>
      </c>
      <c r="U32" s="235">
        <f t="shared" si="18"/>
        <v>0</v>
      </c>
      <c r="V32" s="236">
        <f t="shared" si="19"/>
        <v>0</v>
      </c>
      <c r="W32" s="169" t="str">
        <f t="shared" si="25"/>
        <v>-</v>
      </c>
      <c r="X32" s="175"/>
      <c r="Y32" s="176"/>
      <c r="Z32" s="143"/>
      <c r="AA32" s="153"/>
      <c r="AB32" s="128"/>
      <c r="AC32" s="176"/>
      <c r="AD32" s="143"/>
      <c r="AE32" s="153"/>
      <c r="AF32" s="128"/>
      <c r="AH32" s="143"/>
      <c r="AI32" s="153"/>
      <c r="AJ32" s="128"/>
    </row>
    <row r="33" spans="1:36" s="170" customFormat="1" ht="13.35" hidden="1" customHeight="1" outlineLevel="1" x14ac:dyDescent="0.25">
      <c r="A33" s="237" t="s">
        <v>78</v>
      </c>
      <c r="B33" s="237" t="s">
        <v>79</v>
      </c>
      <c r="C33" s="238"/>
      <c r="D33" s="238"/>
      <c r="E33" s="239"/>
      <c r="F33" s="240"/>
      <c r="G33" s="241"/>
      <c r="H33" s="242"/>
      <c r="I33" s="243"/>
      <c r="J33" s="244"/>
      <c r="K33" s="245"/>
      <c r="L33" s="245"/>
      <c r="M33" s="246">
        <f t="shared" si="14"/>
        <v>0</v>
      </c>
      <c r="N33" s="246"/>
      <c r="O33" s="246"/>
      <c r="P33" s="246">
        <f t="shared" si="15"/>
        <v>0</v>
      </c>
      <c r="Q33" s="247"/>
      <c r="R33" s="248"/>
      <c r="S33" s="243">
        <f t="shared" si="27"/>
        <v>0</v>
      </c>
      <c r="T33" s="249" t="str">
        <f t="shared" si="24"/>
        <v>-</v>
      </c>
      <c r="U33" s="250"/>
      <c r="V33" s="251">
        <f t="shared" si="19"/>
        <v>0</v>
      </c>
      <c r="W33" s="252" t="str">
        <f t="shared" si="25"/>
        <v>-</v>
      </c>
      <c r="X33" s="175"/>
      <c r="Y33" s="176"/>
      <c r="Z33" s="143"/>
      <c r="AA33" s="153"/>
      <c r="AB33" s="128"/>
      <c r="AC33" s="176"/>
      <c r="AD33" s="143"/>
      <c r="AE33" s="153"/>
      <c r="AF33" s="128"/>
      <c r="AH33" s="143"/>
      <c r="AI33" s="153"/>
      <c r="AJ33" s="128"/>
    </row>
    <row r="34" spans="1:36" s="170" customFormat="1" ht="13.35" hidden="1" customHeight="1" outlineLevel="1" x14ac:dyDescent="0.25">
      <c r="A34" s="117" t="s">
        <v>80</v>
      </c>
      <c r="B34" s="117" t="s">
        <v>81</v>
      </c>
      <c r="E34" s="171"/>
      <c r="F34" s="172"/>
      <c r="G34" s="173"/>
      <c r="H34" s="143"/>
      <c r="I34" s="144"/>
      <c r="J34" s="145">
        <f t="shared" si="13"/>
        <v>0</v>
      </c>
      <c r="K34" s="223"/>
      <c r="L34" s="223"/>
      <c r="M34" s="135">
        <f t="shared" si="14"/>
        <v>0</v>
      </c>
      <c r="N34" s="135"/>
      <c r="O34" s="135"/>
      <c r="P34" s="135">
        <f t="shared" si="15"/>
        <v>0</v>
      </c>
      <c r="Q34" s="146">
        <v>432</v>
      </c>
      <c r="R34" s="174">
        <f>P34-Q34</f>
        <v>-432</v>
      </c>
      <c r="S34" s="144">
        <f t="shared" si="23"/>
        <v>0</v>
      </c>
      <c r="T34" s="126" t="str">
        <f t="shared" si="24"/>
        <v>-</v>
      </c>
      <c r="U34" s="224">
        <f t="shared" si="18"/>
        <v>0</v>
      </c>
      <c r="V34" s="225">
        <f t="shared" si="19"/>
        <v>0</v>
      </c>
      <c r="W34" s="128" t="str">
        <f t="shared" si="25"/>
        <v>-</v>
      </c>
      <c r="X34" s="175"/>
      <c r="Y34" s="176"/>
      <c r="Z34" s="143">
        <f>'[1]2021-22'!C379</f>
        <v>301.04000000000002</v>
      </c>
      <c r="AA34" s="153">
        <f>O34-Z34</f>
        <v>-301.04000000000002</v>
      </c>
      <c r="AB34" s="128">
        <f>IF(ISERR(AA34/Z34),"-",AA34/Z34)</f>
        <v>-1</v>
      </c>
      <c r="AC34" s="176"/>
      <c r="AD34" s="143">
        <v>0</v>
      </c>
      <c r="AE34" s="153">
        <f>S34-AD34</f>
        <v>0</v>
      </c>
      <c r="AF34" s="128" t="str">
        <f>IF(ISERR(AE34/AD34),"-",AE34/AD34)</f>
        <v>-</v>
      </c>
      <c r="AH34" s="143">
        <v>0</v>
      </c>
      <c r="AI34" s="153">
        <f>S34-AH34</f>
        <v>0</v>
      </c>
      <c r="AJ34" s="128" t="str">
        <f t="shared" si="26"/>
        <v>-</v>
      </c>
    </row>
    <row r="35" spans="1:36" s="170" customFormat="1" ht="13.35" hidden="1" customHeight="1" outlineLevel="1" x14ac:dyDescent="0.25">
      <c r="A35" s="117" t="s">
        <v>82</v>
      </c>
      <c r="B35" s="117" t="s">
        <v>83</v>
      </c>
      <c r="E35" s="171"/>
      <c r="F35" s="172"/>
      <c r="G35" s="173"/>
      <c r="H35" s="143"/>
      <c r="I35" s="144"/>
      <c r="J35" s="145">
        <f t="shared" si="13"/>
        <v>0</v>
      </c>
      <c r="K35" s="223"/>
      <c r="L35" s="223"/>
      <c r="M35" s="135">
        <f t="shared" si="14"/>
        <v>0</v>
      </c>
      <c r="N35" s="135"/>
      <c r="O35" s="135"/>
      <c r="P35" s="135">
        <f t="shared" si="15"/>
        <v>0</v>
      </c>
      <c r="Q35" s="146">
        <v>18225.349999999999</v>
      </c>
      <c r="R35" s="174">
        <f>P35-Q35</f>
        <v>-18225.349999999999</v>
      </c>
      <c r="S35" s="144">
        <f t="shared" si="23"/>
        <v>0</v>
      </c>
      <c r="T35" s="126" t="str">
        <f t="shared" si="24"/>
        <v>-</v>
      </c>
      <c r="U35" s="224">
        <f t="shared" si="18"/>
        <v>0</v>
      </c>
      <c r="V35" s="225">
        <f>P35-S35</f>
        <v>0</v>
      </c>
      <c r="W35" s="128" t="str">
        <f t="shared" si="25"/>
        <v>-</v>
      </c>
      <c r="X35" s="175"/>
      <c r="Y35" s="176"/>
      <c r="Z35" s="143">
        <f>'[1]2021-22'!C535</f>
        <v>28565.73</v>
      </c>
      <c r="AA35" s="153">
        <f>O35-Z35</f>
        <v>-28565.73</v>
      </c>
      <c r="AB35" s="128">
        <f>IF(ISERR(AA35/Z35),"-",AA35/Z35)</f>
        <v>-1</v>
      </c>
      <c r="AC35" s="176"/>
      <c r="AD35" s="143">
        <v>142.68</v>
      </c>
      <c r="AE35" s="153">
        <f>S35-AD35</f>
        <v>-142.68</v>
      </c>
      <c r="AF35" s="128">
        <f>IF(ISERR(AE35/AD35),"-",AE35/AD35)</f>
        <v>-1</v>
      </c>
      <c r="AH35" s="143">
        <v>123243.44</v>
      </c>
      <c r="AI35" s="153">
        <f>S35-AH35</f>
        <v>-123243.44</v>
      </c>
      <c r="AJ35" s="128">
        <f t="shared" si="26"/>
        <v>-1</v>
      </c>
    </row>
    <row r="36" spans="1:36" ht="13.35" hidden="1" customHeight="1" outlineLevel="1" x14ac:dyDescent="0.3">
      <c r="A36" s="64" t="s">
        <v>84</v>
      </c>
      <c r="B36" s="13" t="s">
        <v>85</v>
      </c>
      <c r="D36" s="118" t="s">
        <v>49</v>
      </c>
      <c r="E36" s="119"/>
      <c r="F36" s="179">
        <f>31+16</f>
        <v>47</v>
      </c>
      <c r="G36" s="121">
        <f>E36-F36</f>
        <v>-47</v>
      </c>
      <c r="H36" s="143">
        <f>1068500+773800+268800</f>
        <v>2111100</v>
      </c>
      <c r="I36" s="144">
        <v>2111100</v>
      </c>
      <c r="J36" s="145">
        <f t="shared" si="13"/>
        <v>0</v>
      </c>
      <c r="K36" s="182">
        <f>338000+239600+103600+82500+41500</f>
        <v>805200</v>
      </c>
      <c r="L36" s="182"/>
      <c r="M36" s="135">
        <f t="shared" si="14"/>
        <v>805200</v>
      </c>
      <c r="N36" s="135">
        <f>327100+299800+235700+216000+268800-41500</f>
        <v>1305900</v>
      </c>
      <c r="O36" s="135"/>
      <c r="P36" s="135">
        <f t="shared" si="15"/>
        <v>2111100</v>
      </c>
      <c r="Q36" s="183">
        <v>22163.27</v>
      </c>
      <c r="R36" s="182">
        <f>[1]SIW!I18-'[1]Operating Results'!Q36</f>
        <v>-20423.78</v>
      </c>
      <c r="S36" s="144">
        <f t="shared" si="23"/>
        <v>1739.4900000000016</v>
      </c>
      <c r="T36" s="126">
        <f t="shared" si="24"/>
        <v>12.741245997390028</v>
      </c>
      <c r="U36" s="224">
        <f t="shared" si="18"/>
        <v>-2109360.5099999998</v>
      </c>
      <c r="V36" s="225">
        <f t="shared" si="19"/>
        <v>2109360.5099999998</v>
      </c>
      <c r="W36" s="128">
        <f t="shared" si="25"/>
        <v>0.99917602671592998</v>
      </c>
      <c r="X36" s="253"/>
      <c r="Y36" s="254"/>
      <c r="Z36" s="186">
        <f>'[1]2021-22'!C613</f>
        <v>162911.54</v>
      </c>
      <c r="AA36" s="255">
        <f>O36-Z36</f>
        <v>-162911.54</v>
      </c>
      <c r="AB36" s="256">
        <f>IF(ISERR(AA36/Z36),"-",AA36/Z36)</f>
        <v>-1</v>
      </c>
      <c r="AC36" s="254"/>
      <c r="AD36" s="186">
        <v>737708.44</v>
      </c>
      <c r="AE36" s="255">
        <f>S36-AD36</f>
        <v>-735968.95</v>
      </c>
      <c r="AF36" s="256">
        <f>IF(ISERR(AE36/AD36),"-",AE36/AD36)</f>
        <v>-0.99764203592411116</v>
      </c>
      <c r="AH36" s="186">
        <v>800311.68</v>
      </c>
      <c r="AI36" s="255">
        <f>S36-AH36</f>
        <v>-798572.19000000006</v>
      </c>
      <c r="AJ36" s="256">
        <f t="shared" si="26"/>
        <v>-0.99782648430171605</v>
      </c>
    </row>
    <row r="37" spans="1:36" ht="13.35" hidden="1" customHeight="1" outlineLevel="1" x14ac:dyDescent="0.3">
      <c r="A37" s="64"/>
      <c r="D37" s="118" t="s">
        <v>50</v>
      </c>
      <c r="E37" s="119"/>
      <c r="F37" s="179">
        <f>F36</f>
        <v>47</v>
      </c>
      <c r="G37" s="121">
        <f>E37-F37</f>
        <v>-47</v>
      </c>
      <c r="H37" s="143"/>
      <c r="I37" s="144"/>
      <c r="J37" s="145"/>
      <c r="K37" s="182"/>
      <c r="L37" s="182"/>
      <c r="M37" s="135">
        <f t="shared" si="14"/>
        <v>0</v>
      </c>
      <c r="N37" s="135"/>
      <c r="O37" s="135"/>
      <c r="P37" s="135"/>
      <c r="Q37" s="183"/>
      <c r="R37" s="182"/>
      <c r="S37" s="144"/>
      <c r="T37" s="126"/>
      <c r="U37" s="224"/>
      <c r="V37" s="225"/>
      <c r="W37" s="128"/>
      <c r="X37" s="253"/>
      <c r="Y37" s="254"/>
      <c r="Z37" s="186"/>
      <c r="AA37" s="255"/>
      <c r="AB37" s="256"/>
      <c r="AC37" s="254"/>
      <c r="AD37" s="186"/>
      <c r="AE37" s="255"/>
      <c r="AF37" s="256"/>
      <c r="AH37" s="186"/>
      <c r="AI37" s="255"/>
      <c r="AJ37" s="256"/>
    </row>
    <row r="38" spans="1:36" ht="13.35" hidden="1" customHeight="1" outlineLevel="1" x14ac:dyDescent="0.3">
      <c r="A38" s="64" t="s">
        <v>86</v>
      </c>
      <c r="B38" s="13" t="s">
        <v>87</v>
      </c>
      <c r="D38" s="118"/>
      <c r="E38" s="178"/>
      <c r="F38" s="179"/>
      <c r="G38" s="257"/>
      <c r="H38" s="143"/>
      <c r="I38" s="144"/>
      <c r="J38" s="145">
        <f t="shared" si="13"/>
        <v>0</v>
      </c>
      <c r="K38" s="182"/>
      <c r="L38" s="182"/>
      <c r="M38" s="135">
        <f t="shared" si="14"/>
        <v>0</v>
      </c>
      <c r="N38" s="135"/>
      <c r="O38" s="135"/>
      <c r="P38" s="135">
        <f t="shared" si="15"/>
        <v>0</v>
      </c>
      <c r="Q38" s="183">
        <v>5505.77</v>
      </c>
      <c r="R38" s="182">
        <v>-5505.77</v>
      </c>
      <c r="S38" s="144">
        <f t="shared" si="23"/>
        <v>0</v>
      </c>
      <c r="T38" s="126" t="str">
        <f t="shared" si="24"/>
        <v>-</v>
      </c>
      <c r="U38" s="224">
        <f t="shared" si="18"/>
        <v>0</v>
      </c>
      <c r="V38" s="225">
        <f t="shared" si="19"/>
        <v>0</v>
      </c>
      <c r="W38" s="128" t="str">
        <f>IF(ISERR(V38/P38),"-",V38/P38)</f>
        <v>-</v>
      </c>
      <c r="X38" s="253"/>
      <c r="Y38" s="254"/>
      <c r="Z38" s="186">
        <f>'[1]2021-22'!C614</f>
        <v>100350.68</v>
      </c>
      <c r="AA38" s="255">
        <f>O38-Z38</f>
        <v>-100350.68</v>
      </c>
      <c r="AB38" s="256">
        <f>IF(ISERR(AA38/Z38),"-",AA38/Z38)</f>
        <v>-1</v>
      </c>
      <c r="AC38" s="254"/>
      <c r="AD38" s="186">
        <v>191894.57</v>
      </c>
      <c r="AE38" s="255">
        <f>S38-AD38</f>
        <v>-191894.57</v>
      </c>
      <c r="AF38" s="256">
        <f>IF(ISERR(AE38/AD38),"-",AE38/AD38)</f>
        <v>-1</v>
      </c>
      <c r="AH38" s="186">
        <v>113622.72</v>
      </c>
      <c r="AI38" s="255">
        <f>S38-AH38</f>
        <v>-113622.72</v>
      </c>
      <c r="AJ38" s="256">
        <f t="shared" ref="AJ38:AJ39" si="28">IF(ISERR(AI38/AH38),"-",AI38/AH38)</f>
        <v>-1</v>
      </c>
    </row>
    <row r="39" spans="1:36" ht="13.35" customHeight="1" collapsed="1" x14ac:dyDescent="0.3">
      <c r="A39" s="1" t="s">
        <v>88</v>
      </c>
      <c r="B39" s="12"/>
      <c r="E39" s="258">
        <f>E29+E37</f>
        <v>0</v>
      </c>
      <c r="F39" s="189">
        <f>F29+F37</f>
        <v>662.28</v>
      </c>
      <c r="G39" s="190">
        <f>G29+G37</f>
        <v>-662.28</v>
      </c>
      <c r="H39" s="193">
        <f t="shared" ref="H39:S39" si="29">SUM(H27:H38)</f>
        <v>26966800</v>
      </c>
      <c r="I39" s="193">
        <f t="shared" si="29"/>
        <v>27166800</v>
      </c>
      <c r="J39" s="259">
        <f t="shared" si="29"/>
        <v>200000</v>
      </c>
      <c r="K39" s="193">
        <f t="shared" si="29"/>
        <v>11073800</v>
      </c>
      <c r="L39" s="193">
        <f t="shared" si="29"/>
        <v>13606.099999999999</v>
      </c>
      <c r="M39" s="193">
        <f t="shared" si="29"/>
        <v>11087406.1</v>
      </c>
      <c r="N39" s="193">
        <f t="shared" si="29"/>
        <v>15893000</v>
      </c>
      <c r="O39" s="193">
        <f t="shared" si="29"/>
        <v>200000</v>
      </c>
      <c r="P39" s="193">
        <f t="shared" si="29"/>
        <v>27180406.100000001</v>
      </c>
      <c r="Q39" s="195">
        <f t="shared" si="29"/>
        <v>13176276.869999999</v>
      </c>
      <c r="R39" s="193">
        <f t="shared" si="29"/>
        <v>16093519.910000002</v>
      </c>
      <c r="S39" s="193">
        <f t="shared" si="29"/>
        <v>29269796.780000001</v>
      </c>
      <c r="T39" s="196">
        <f>IF(ISERR(Q39/S39),"-",Q39/S39)</f>
        <v>0.45016632568502579</v>
      </c>
      <c r="U39" s="260">
        <f>SUM(U27:U38)</f>
        <v>2102996.7800000012</v>
      </c>
      <c r="V39" s="197">
        <f>SUM(V27:V38)</f>
        <v>-2089390.6800000016</v>
      </c>
      <c r="W39" s="198">
        <f>IF(ISERR(V39/P39),"-",V39/P39)</f>
        <v>-7.6871209072921151E-2</v>
      </c>
      <c r="X39" s="199"/>
      <c r="Y39" s="185"/>
      <c r="Z39" s="200">
        <f>SUM(Z27:Z38)</f>
        <v>31455208.969999999</v>
      </c>
      <c r="AA39" s="261">
        <f>SUM(AA27:AA38)</f>
        <v>-31255208.969999999</v>
      </c>
      <c r="AB39" s="198">
        <f>IF(ISERR(AA39/Z39),"-",AA39/Z39)</f>
        <v>-0.99364175262066301</v>
      </c>
      <c r="AC39" s="185"/>
      <c r="AD39" s="200">
        <f>SUM(AD27:AD38)</f>
        <v>21344604.059999999</v>
      </c>
      <c r="AE39" s="261">
        <f>SUM(AE27:AE38)</f>
        <v>7925192.7200000016</v>
      </c>
      <c r="AF39" s="198">
        <f>IF(ISERR(AE39/AD39),"-",AE39/AD39)</f>
        <v>0.37129724672906406</v>
      </c>
      <c r="AH39" s="200">
        <v>20111720.959999997</v>
      </c>
      <c r="AI39" s="261">
        <f>SUM(AI27:AI38)</f>
        <v>9459342.0000000019</v>
      </c>
      <c r="AJ39" s="198">
        <f t="shared" si="28"/>
        <v>0.47033975952697404</v>
      </c>
    </row>
    <row r="40" spans="1:36" ht="13.35" customHeight="1" x14ac:dyDescent="0.3">
      <c r="A40" s="12"/>
      <c r="B40" s="12"/>
      <c r="E40" s="202"/>
      <c r="F40" s="203"/>
      <c r="G40" s="204"/>
      <c r="H40" s="202"/>
      <c r="I40" s="220"/>
      <c r="J40" s="220"/>
      <c r="K40" s="220"/>
      <c r="L40" s="220"/>
      <c r="M40" s="220"/>
      <c r="N40" s="220"/>
      <c r="O40" s="220"/>
      <c r="P40" s="220"/>
      <c r="Q40" s="221"/>
      <c r="R40" s="220"/>
      <c r="S40" s="220"/>
      <c r="T40" s="220"/>
      <c r="U40" s="222"/>
      <c r="V40" s="217"/>
      <c r="W40" s="218"/>
      <c r="X40" s="184"/>
      <c r="Y40" s="185"/>
      <c r="Z40" s="109"/>
      <c r="AA40" s="114"/>
      <c r="AB40" s="115"/>
      <c r="AC40" s="185"/>
      <c r="AD40" s="109"/>
      <c r="AE40" s="114"/>
      <c r="AF40" s="115"/>
      <c r="AH40" s="109"/>
      <c r="AI40" s="114"/>
      <c r="AJ40" s="115"/>
    </row>
    <row r="41" spans="1:36" ht="13.35" customHeight="1" x14ac:dyDescent="0.3">
      <c r="A41" s="1"/>
      <c r="B41" s="12"/>
      <c r="E41" s="202"/>
      <c r="F41" s="203"/>
      <c r="G41" s="204"/>
      <c r="H41" s="202"/>
      <c r="I41" s="182"/>
      <c r="J41" s="182"/>
      <c r="K41" s="182"/>
      <c r="L41" s="182"/>
      <c r="M41" s="182"/>
      <c r="N41" s="182"/>
      <c r="O41" s="182"/>
      <c r="P41" s="182"/>
      <c r="Q41" s="183"/>
      <c r="R41" s="182"/>
      <c r="S41" s="182"/>
      <c r="T41" s="126"/>
      <c r="U41" s="262"/>
      <c r="V41" s="263"/>
      <c r="W41" s="209"/>
      <c r="X41" s="210"/>
      <c r="Y41" s="211"/>
      <c r="Z41" s="109"/>
      <c r="AA41" s="114"/>
      <c r="AB41" s="115"/>
      <c r="AC41" s="211"/>
      <c r="AD41" s="109"/>
      <c r="AE41" s="114"/>
      <c r="AF41" s="115"/>
      <c r="AH41" s="109"/>
      <c r="AI41" s="114"/>
      <c r="AJ41" s="115"/>
    </row>
    <row r="42" spans="1:36" ht="13.35" hidden="1" customHeight="1" outlineLevel="1" x14ac:dyDescent="0.3">
      <c r="A42" s="116" t="s">
        <v>89</v>
      </c>
      <c r="B42" s="12"/>
      <c r="E42" s="202"/>
      <c r="F42" s="203"/>
      <c r="G42" s="204"/>
      <c r="H42" s="202"/>
      <c r="I42" s="182"/>
      <c r="J42" s="182"/>
      <c r="K42" s="182"/>
      <c r="L42" s="182"/>
      <c r="M42" s="182"/>
      <c r="N42" s="182"/>
      <c r="O42" s="182"/>
      <c r="P42" s="182"/>
      <c r="Q42" s="183"/>
      <c r="R42" s="182"/>
      <c r="S42" s="182"/>
      <c r="T42" s="182"/>
      <c r="U42" s="264"/>
      <c r="V42" s="263"/>
      <c r="W42" s="209"/>
      <c r="X42" s="210"/>
      <c r="Y42" s="211"/>
      <c r="Z42" s="109"/>
      <c r="AA42" s="114"/>
      <c r="AB42" s="115"/>
      <c r="AC42" s="211"/>
      <c r="AD42" s="109"/>
      <c r="AE42" s="114"/>
      <c r="AF42" s="115"/>
      <c r="AH42" s="109"/>
      <c r="AI42" s="114"/>
      <c r="AJ42" s="115"/>
    </row>
    <row r="43" spans="1:36" ht="13.35" hidden="1" customHeight="1" outlineLevel="1" x14ac:dyDescent="0.3">
      <c r="A43" s="64" t="s">
        <v>90</v>
      </c>
      <c r="B43" s="64" t="s">
        <v>91</v>
      </c>
      <c r="D43" s="118" t="s">
        <v>49</v>
      </c>
      <c r="E43" s="119"/>
      <c r="F43" s="203">
        <v>90.73</v>
      </c>
      <c r="G43" s="121">
        <f t="shared" ref="G43:G44" si="30">E43-F43</f>
        <v>-90.73</v>
      </c>
      <c r="H43" s="265">
        <v>4469000</v>
      </c>
      <c r="I43" s="144">
        <v>4469000</v>
      </c>
      <c r="J43" s="145">
        <f t="shared" ref="J43:J59" si="31">I43-H43</f>
        <v>0</v>
      </c>
      <c r="K43" s="182">
        <f>1431800+542400</f>
        <v>1974200</v>
      </c>
      <c r="L43" s="182"/>
      <c r="M43" s="123">
        <f>K43+L43</f>
        <v>1974200</v>
      </c>
      <c r="N43" s="123">
        <f>1301700+1193100</f>
        <v>2494800</v>
      </c>
      <c r="O43" s="123">
        <v>53200</v>
      </c>
      <c r="P43" s="123">
        <f>M43+N43+O43</f>
        <v>4522200</v>
      </c>
      <c r="Q43" s="183">
        <v>2232617.69</v>
      </c>
      <c r="R43" s="182">
        <f>[1]SAA!H18-'[1]Operating Results'!Q43</f>
        <v>2246455.85</v>
      </c>
      <c r="S43" s="148">
        <f>SUM(Q43:R43)</f>
        <v>4479073.54</v>
      </c>
      <c r="T43" s="149">
        <f>IF(ISERR(Q43/S43),"-",Q43/S43)</f>
        <v>0.49845524304564109</v>
      </c>
      <c r="U43" s="224">
        <f t="shared" ref="U43:U59" si="32">S43-I43</f>
        <v>10073.540000000037</v>
      </c>
      <c r="V43" s="136">
        <f>P43-S43</f>
        <v>43126.459999999963</v>
      </c>
      <c r="W43" s="128">
        <f>IF(ISERR(V43/P43),"-",V43/P43)</f>
        <v>9.5366104993144848E-3</v>
      </c>
      <c r="X43" s="184"/>
      <c r="Y43" s="185"/>
      <c r="Z43" s="131">
        <f>'[1]2021-22'!C151</f>
        <v>5089486.4000000004</v>
      </c>
      <c r="AA43" s="153">
        <f>O43-Z43</f>
        <v>-5036286.4000000004</v>
      </c>
      <c r="AB43" s="128">
        <f>IF(ISERR(AA43/Z43),"-",AA43/Z43)</f>
        <v>-0.98954707885652271</v>
      </c>
      <c r="AC43" s="185"/>
      <c r="AD43" s="131">
        <v>3742074.72</v>
      </c>
      <c r="AE43" s="153">
        <f>S43-AD43</f>
        <v>736998.81999999983</v>
      </c>
      <c r="AF43" s="128">
        <f>IF(ISERR(AE43/AD43),"-",AE43/AD43)</f>
        <v>0.19694925279311359</v>
      </c>
      <c r="AH43" s="131">
        <v>3754698.78</v>
      </c>
      <c r="AI43" s="153">
        <f>S43-AH43</f>
        <v>724374.76000000024</v>
      </c>
      <c r="AJ43" s="128">
        <f>IF(ISERR(AI43/AH43),"-",AI43/AH43)</f>
        <v>0.19292486626583671</v>
      </c>
    </row>
    <row r="44" spans="1:36" ht="13.35" hidden="1" customHeight="1" outlineLevel="1" x14ac:dyDescent="0.3">
      <c r="A44" s="64"/>
      <c r="B44" s="64"/>
      <c r="D44" s="118" t="s">
        <v>50</v>
      </c>
      <c r="E44" s="119"/>
      <c r="F44" s="203">
        <f>F43</f>
        <v>90.73</v>
      </c>
      <c r="G44" s="121">
        <f t="shared" si="30"/>
        <v>-90.73</v>
      </c>
      <c r="H44" s="265"/>
      <c r="I44" s="144"/>
      <c r="J44" s="145"/>
      <c r="K44" s="182"/>
      <c r="L44" s="182"/>
      <c r="M44" s="123"/>
      <c r="N44" s="123"/>
      <c r="O44" s="123"/>
      <c r="P44" s="144"/>
      <c r="Q44" s="183"/>
      <c r="R44" s="182"/>
      <c r="S44" s="148"/>
      <c r="T44" s="149"/>
      <c r="U44" s="224"/>
      <c r="V44" s="136"/>
      <c r="W44" s="128"/>
      <c r="X44" s="184"/>
      <c r="Y44" s="185"/>
      <c r="Z44" s="186"/>
      <c r="AA44" s="153"/>
      <c r="AB44" s="128"/>
      <c r="AC44" s="185"/>
      <c r="AD44" s="186"/>
      <c r="AE44" s="153"/>
      <c r="AF44" s="128"/>
      <c r="AH44" s="186"/>
      <c r="AI44" s="153"/>
      <c r="AJ44" s="128"/>
    </row>
    <row r="45" spans="1:36" ht="13.35" hidden="1" customHeight="1" outlineLevel="1" x14ac:dyDescent="0.3">
      <c r="A45" s="64" t="s">
        <v>92</v>
      </c>
      <c r="B45" s="64" t="s">
        <v>93</v>
      </c>
      <c r="D45" s="118"/>
      <c r="E45" s="202"/>
      <c r="F45" s="203"/>
      <c r="G45" s="257"/>
      <c r="H45" s="143"/>
      <c r="I45" s="144"/>
      <c r="J45" s="145">
        <f t="shared" si="31"/>
        <v>0</v>
      </c>
      <c r="K45" s="182"/>
      <c r="L45" s="182"/>
      <c r="M45" s="144">
        <f>K45+L45</f>
        <v>0</v>
      </c>
      <c r="N45" s="144"/>
      <c r="O45" s="144"/>
      <c r="P45" s="144">
        <f>M45+N45+O45</f>
        <v>0</v>
      </c>
      <c r="Q45" s="183">
        <v>75114.12</v>
      </c>
      <c r="R45" s="182">
        <f>[1]SAA!H63-'[1]Operating Results'!Q45</f>
        <v>30454.53</v>
      </c>
      <c r="S45" s="148">
        <f>SUM(Q45:R45)</f>
        <v>105568.65</v>
      </c>
      <c r="T45" s="149">
        <f>IF(ISERR(Q45/S45),"-",Q45/S45)</f>
        <v>0.71151918680403703</v>
      </c>
      <c r="U45" s="224">
        <f t="shared" si="32"/>
        <v>105568.65</v>
      </c>
      <c r="V45" s="150">
        <f t="shared" ref="V45:V59" si="33">P45-S45</f>
        <v>-105568.65</v>
      </c>
      <c r="W45" s="128" t="str">
        <f t="shared" ref="W45:W50" si="34">IF(ISERR(V45/P45),"-",V45/P45)</f>
        <v>-</v>
      </c>
      <c r="X45" s="184"/>
      <c r="Y45" s="185"/>
      <c r="Z45" s="186">
        <f>'[1]2021-22'!C152</f>
        <v>120550.47</v>
      </c>
      <c r="AA45" s="153">
        <f>O45-Z45</f>
        <v>-120550.47</v>
      </c>
      <c r="AB45" s="128">
        <f>IF(ISERR(AA45/Z45),"-",AA45/Z45)</f>
        <v>-1</v>
      </c>
      <c r="AC45" s="185"/>
      <c r="AD45" s="186">
        <v>123056.78</v>
      </c>
      <c r="AE45" s="153">
        <f>S45-AD45</f>
        <v>-17488.130000000005</v>
      </c>
      <c r="AF45" s="128">
        <f>IF(ISERR(AE45/AD45),"-",AE45/AD45)</f>
        <v>-0.14211431503408431</v>
      </c>
      <c r="AH45" s="186">
        <v>104983.08</v>
      </c>
      <c r="AI45" s="153">
        <f>S45-AH45</f>
        <v>585.56999999999243</v>
      </c>
      <c r="AJ45" s="128">
        <f>IF(ISERR(AI45/AH45),"-",AI45/AH45)</f>
        <v>5.5777559583886508E-3</v>
      </c>
    </row>
    <row r="46" spans="1:36" s="170" customFormat="1" ht="13.35" hidden="1" customHeight="1" outlineLevel="1" x14ac:dyDescent="0.3">
      <c r="A46" s="117" t="s">
        <v>94</v>
      </c>
      <c r="B46" s="117" t="s">
        <v>95</v>
      </c>
      <c r="E46" s="171"/>
      <c r="F46" s="172"/>
      <c r="G46" s="173"/>
      <c r="H46" s="265">
        <v>234300</v>
      </c>
      <c r="I46" s="144">
        <v>234300</v>
      </c>
      <c r="J46" s="145">
        <f t="shared" si="31"/>
        <v>0</v>
      </c>
      <c r="K46" s="174">
        <f>59200+35900</f>
        <v>95100</v>
      </c>
      <c r="L46" s="174"/>
      <c r="M46" s="144">
        <f t="shared" ref="M46:M59" si="35">K46+L46</f>
        <v>95100</v>
      </c>
      <c r="N46" s="144">
        <f>63800+75400</f>
        <v>139200</v>
      </c>
      <c r="O46" s="144">
        <v>2800</v>
      </c>
      <c r="P46" s="144">
        <f t="shared" ref="P46:P59" si="36">M46+N46+O46</f>
        <v>237100</v>
      </c>
      <c r="Q46" s="146">
        <v>164612.01999999999</v>
      </c>
      <c r="R46" s="174">
        <f>[1]SAA!H83-'[1]Operating Results'!Q46</f>
        <v>79391.700000000012</v>
      </c>
      <c r="S46" s="148">
        <f>SUM(Q46:R46)</f>
        <v>244003.72</v>
      </c>
      <c r="T46" s="149">
        <f>IF(ISERR(Q46/S46),"-",Q46/S46)</f>
        <v>0.67462914089998294</v>
      </c>
      <c r="U46" s="224">
        <f t="shared" si="32"/>
        <v>9703.7200000000012</v>
      </c>
      <c r="V46" s="150">
        <f t="shared" si="33"/>
        <v>-6903.7200000000012</v>
      </c>
      <c r="W46" s="128">
        <f t="shared" si="34"/>
        <v>-2.9117334458034591E-2</v>
      </c>
      <c r="X46" s="175"/>
      <c r="Y46" s="176"/>
      <c r="Z46" s="186">
        <f>'[1]2021-22'!C153</f>
        <v>264490.12</v>
      </c>
      <c r="AA46" s="153">
        <f>O46-Z46</f>
        <v>-261690.12</v>
      </c>
      <c r="AB46" s="128">
        <f>IF(ISERR(AA46/Z46),"-",AA46/Z46)</f>
        <v>-0.98941359321852929</v>
      </c>
      <c r="AC46" s="176"/>
      <c r="AD46" s="186">
        <v>302370.84999999998</v>
      </c>
      <c r="AE46" s="153">
        <f>S46-AD46</f>
        <v>-58367.129999999976</v>
      </c>
      <c r="AF46" s="128">
        <f>IF(ISERR(AE46/AD46),"-",AE46/AD46)</f>
        <v>-0.19303160341018316</v>
      </c>
      <c r="AH46" s="186">
        <v>262577.91999999998</v>
      </c>
      <c r="AI46" s="153">
        <f>S46-AH46</f>
        <v>-18574.199999999983</v>
      </c>
      <c r="AJ46" s="128">
        <f>IF(ISERR(AI46/AH46),"-",AI46/AH46)</f>
        <v>-7.0737859451396309E-2</v>
      </c>
    </row>
    <row r="47" spans="1:36" s="170" customFormat="1" ht="13.35" hidden="1" customHeight="1" outlineLevel="1" x14ac:dyDescent="0.3">
      <c r="A47" s="154" t="s">
        <v>94</v>
      </c>
      <c r="B47" s="154" t="s">
        <v>96</v>
      </c>
      <c r="C47" s="155"/>
      <c r="D47" s="155"/>
      <c r="E47" s="156"/>
      <c r="F47" s="157"/>
      <c r="G47" s="158"/>
      <c r="H47" s="266"/>
      <c r="I47" s="160"/>
      <c r="J47" s="161">
        <f t="shared" si="31"/>
        <v>0</v>
      </c>
      <c r="K47" s="165"/>
      <c r="L47" s="165"/>
      <c r="M47" s="160">
        <f t="shared" si="35"/>
        <v>0</v>
      </c>
      <c r="N47" s="160"/>
      <c r="O47" s="160"/>
      <c r="P47" s="160">
        <f t="shared" si="36"/>
        <v>0</v>
      </c>
      <c r="Q47" s="233"/>
      <c r="R47" s="165"/>
      <c r="S47" s="166">
        <f>SUM(Q47:R47)</f>
        <v>0</v>
      </c>
      <c r="T47" s="167" t="str">
        <f>IF(ISERR(Q47/S47),"-",Q47/S47)</f>
        <v>-</v>
      </c>
      <c r="U47" s="235">
        <f t="shared" si="32"/>
        <v>0</v>
      </c>
      <c r="V47" s="168">
        <f t="shared" si="33"/>
        <v>0</v>
      </c>
      <c r="W47" s="128" t="str">
        <f t="shared" si="34"/>
        <v>-</v>
      </c>
      <c r="X47" s="175"/>
      <c r="Y47" s="176"/>
      <c r="Z47" s="186"/>
      <c r="AA47" s="153"/>
      <c r="AB47" s="128"/>
      <c r="AC47" s="176"/>
      <c r="AD47" s="186"/>
      <c r="AE47" s="153"/>
      <c r="AF47" s="128"/>
      <c r="AH47" s="186"/>
      <c r="AI47" s="153"/>
      <c r="AJ47" s="128"/>
    </row>
    <row r="48" spans="1:36" s="170" customFormat="1" ht="13.35" hidden="1" customHeight="1" outlineLevel="1" x14ac:dyDescent="0.2">
      <c r="A48" s="117" t="s">
        <v>97</v>
      </c>
      <c r="B48" s="117" t="s">
        <v>98</v>
      </c>
      <c r="E48" s="171"/>
      <c r="F48" s="172"/>
      <c r="G48" s="173"/>
      <c r="H48" s="143"/>
      <c r="I48" s="177">
        <v>505020</v>
      </c>
      <c r="J48" s="145">
        <f t="shared" si="31"/>
        <v>505020</v>
      </c>
      <c r="K48" s="174"/>
      <c r="L48" s="174"/>
      <c r="M48" s="144">
        <f t="shared" si="35"/>
        <v>0</v>
      </c>
      <c r="N48" s="144"/>
      <c r="O48" s="144">
        <v>505020</v>
      </c>
      <c r="P48" s="144">
        <f t="shared" si="36"/>
        <v>505020</v>
      </c>
      <c r="Q48" s="146">
        <v>185360.39</v>
      </c>
      <c r="R48" s="174">
        <f>P48-Q48</f>
        <v>319659.61</v>
      </c>
      <c r="S48" s="148">
        <f>SUM(Q48:R48)</f>
        <v>505020</v>
      </c>
      <c r="T48" s="149">
        <f>IF(ISERR(Q48/S48),"-",Q48/S48)</f>
        <v>0.36703574115876603</v>
      </c>
      <c r="U48" s="224">
        <f t="shared" si="32"/>
        <v>0</v>
      </c>
      <c r="V48" s="150">
        <f t="shared" si="33"/>
        <v>0</v>
      </c>
      <c r="W48" s="128">
        <f t="shared" si="34"/>
        <v>0</v>
      </c>
      <c r="X48" s="175"/>
      <c r="Y48" s="176"/>
      <c r="Z48" s="143">
        <f>SUM('[1]2021-22'!C154:C186)</f>
        <v>507091.2199999998</v>
      </c>
      <c r="AA48" s="153">
        <f>O48-Z48</f>
        <v>-2071.2199999997974</v>
      </c>
      <c r="AB48" s="128">
        <f>IF(ISERR(AA48/Z48),"-",AA48/Z48)</f>
        <v>-4.0845116584739887E-3</v>
      </c>
      <c r="AC48" s="176"/>
      <c r="AD48" s="143">
        <v>540515.35000000009</v>
      </c>
      <c r="AE48" s="153">
        <f>S48-AD48</f>
        <v>-35495.350000000093</v>
      </c>
      <c r="AF48" s="128">
        <f>IF(ISERR(AE48/AD48),"-",AE48/AD48)</f>
        <v>-6.5669457860910121E-2</v>
      </c>
      <c r="AH48" s="143">
        <v>509366.4</v>
      </c>
      <c r="AI48" s="153">
        <f>S48-AH48</f>
        <v>-4346.4000000000233</v>
      </c>
      <c r="AJ48" s="128">
        <f t="shared" ref="AJ48:AJ50" si="37">IF(ISERR(AI48/AH48),"-",AI48/AH48)</f>
        <v>-8.5329538815281554E-3</v>
      </c>
    </row>
    <row r="49" spans="1:36" s="170" customFormat="1" ht="13.35" hidden="1" customHeight="1" outlineLevel="1" x14ac:dyDescent="0.2">
      <c r="A49" s="237" t="s">
        <v>99</v>
      </c>
      <c r="B49" s="237" t="s">
        <v>79</v>
      </c>
      <c r="C49" s="238"/>
      <c r="D49" s="238"/>
      <c r="E49" s="239"/>
      <c r="F49" s="240"/>
      <c r="G49" s="241"/>
      <c r="H49" s="242"/>
      <c r="I49" s="243"/>
      <c r="J49" s="244"/>
      <c r="K49" s="248"/>
      <c r="L49" s="248"/>
      <c r="M49" s="243">
        <f t="shared" si="35"/>
        <v>0</v>
      </c>
      <c r="N49" s="243"/>
      <c r="O49" s="243"/>
      <c r="P49" s="243">
        <f t="shared" si="36"/>
        <v>0</v>
      </c>
      <c r="Q49" s="247"/>
      <c r="R49" s="248"/>
      <c r="S49" s="267">
        <f>SUM(Q49:R49)</f>
        <v>0</v>
      </c>
      <c r="T49" s="268" t="str">
        <f>IF(ISERR(Q49/S49),"-",Q49/S49)</f>
        <v>-</v>
      </c>
      <c r="U49" s="250"/>
      <c r="V49" s="269">
        <f t="shared" si="33"/>
        <v>0</v>
      </c>
      <c r="W49" s="252" t="str">
        <f t="shared" si="34"/>
        <v>-</v>
      </c>
      <c r="X49" s="175"/>
      <c r="Y49" s="176"/>
      <c r="Z49" s="143"/>
      <c r="AA49" s="153"/>
      <c r="AB49" s="128"/>
      <c r="AC49" s="176"/>
      <c r="AD49" s="143"/>
      <c r="AE49" s="153"/>
      <c r="AF49" s="128"/>
      <c r="AH49" s="143"/>
      <c r="AI49" s="153"/>
      <c r="AJ49" s="128"/>
    </row>
    <row r="50" spans="1:36" ht="13.35" hidden="1" customHeight="1" outlineLevel="1" x14ac:dyDescent="0.3">
      <c r="A50" s="64" t="s">
        <v>100</v>
      </c>
      <c r="B50" s="13" t="s">
        <v>101</v>
      </c>
      <c r="D50" s="118" t="s">
        <v>49</v>
      </c>
      <c r="E50" s="119"/>
      <c r="F50" s="203">
        <f>14.5+5+6+1.7+13.59</f>
        <v>40.79</v>
      </c>
      <c r="G50" s="121">
        <f t="shared" ref="G50:G51" si="38">E50-F50</f>
        <v>-40.79</v>
      </c>
      <c r="H50" s="270">
        <f>3671100+411900</f>
        <v>4083000</v>
      </c>
      <c r="I50" s="123">
        <v>4083000</v>
      </c>
      <c r="J50" s="145">
        <f t="shared" si="31"/>
        <v>0</v>
      </c>
      <c r="K50" s="271">
        <f>914300+928300+54900</f>
        <v>1897500</v>
      </c>
      <c r="L50" s="272"/>
      <c r="M50" s="144">
        <f t="shared" si="35"/>
        <v>1897500</v>
      </c>
      <c r="N50" s="144">
        <f>914300+914200+411900-54900</f>
        <v>2185500</v>
      </c>
      <c r="O50" s="273">
        <f>430098+47600</f>
        <v>477698</v>
      </c>
      <c r="P50" s="144">
        <f t="shared" si="36"/>
        <v>4560698</v>
      </c>
      <c r="Q50" s="274">
        <v>2042502.73</v>
      </c>
      <c r="R50" s="275">
        <f>[1]SSE!I18-'[1]Operating Results'!Q50</f>
        <v>1963460.4350000001</v>
      </c>
      <c r="S50" s="275">
        <f t="shared" ref="S50:S59" si="39">SUM(Q50:R50)</f>
        <v>4005963.165</v>
      </c>
      <c r="T50" s="149">
        <f t="shared" ref="T50:T60" si="40">IF(ISERR(Q50/S50),"-",Q50/S50)</f>
        <v>0.50986557935562049</v>
      </c>
      <c r="U50" s="224">
        <f t="shared" si="32"/>
        <v>-77036.834999999963</v>
      </c>
      <c r="V50" s="150">
        <f t="shared" si="33"/>
        <v>554734.83499999996</v>
      </c>
      <c r="W50" s="256">
        <f t="shared" si="34"/>
        <v>0.12163375759587676</v>
      </c>
      <c r="X50" s="184"/>
      <c r="Y50" s="185"/>
      <c r="Z50" s="143">
        <f>'[1]2021-22'!C217</f>
        <v>2870234.16</v>
      </c>
      <c r="AA50" s="153">
        <f>O50-Z50</f>
        <v>-2392536.16</v>
      </c>
      <c r="AB50" s="128">
        <f>IF(ISERR(AA50/Z50),"-",AA50/Z50)</f>
        <v>-0.83356828280519102</v>
      </c>
      <c r="AC50" s="185"/>
      <c r="AD50" s="143">
        <v>2221047.29</v>
      </c>
      <c r="AE50" s="153">
        <f>S50-AD50</f>
        <v>1784915.875</v>
      </c>
      <c r="AF50" s="128">
        <f>IF(ISERR(AE50/AD50),"-",AE50/AD50)</f>
        <v>0.80363704232519961</v>
      </c>
      <c r="AH50" s="143">
        <v>2266273.25</v>
      </c>
      <c r="AI50" s="153">
        <f>S50-AH50</f>
        <v>1739689.915</v>
      </c>
      <c r="AJ50" s="128">
        <f t="shared" si="37"/>
        <v>0.76764349356371742</v>
      </c>
    </row>
    <row r="51" spans="1:36" ht="13.35" hidden="1" customHeight="1" outlineLevel="1" x14ac:dyDescent="0.3">
      <c r="A51" s="64"/>
      <c r="D51" s="118" t="s">
        <v>50</v>
      </c>
      <c r="E51" s="119"/>
      <c r="F51" s="203">
        <f>F50</f>
        <v>40.79</v>
      </c>
      <c r="G51" s="121">
        <f t="shared" si="38"/>
        <v>-40.79</v>
      </c>
      <c r="H51" s="270"/>
      <c r="I51" s="123"/>
      <c r="J51" s="145"/>
      <c r="K51" s="271"/>
      <c r="L51" s="271"/>
      <c r="M51" s="144">
        <f t="shared" si="35"/>
        <v>0</v>
      </c>
      <c r="N51" s="144"/>
      <c r="O51" s="144"/>
      <c r="P51" s="144">
        <f t="shared" si="36"/>
        <v>0</v>
      </c>
      <c r="Q51" s="274"/>
      <c r="R51" s="275"/>
      <c r="S51" s="275"/>
      <c r="T51" s="149"/>
      <c r="U51" s="224"/>
      <c r="V51" s="150"/>
      <c r="W51" s="256"/>
      <c r="X51" s="184"/>
      <c r="Y51" s="185"/>
      <c r="Z51" s="143"/>
      <c r="AA51" s="153"/>
      <c r="AB51" s="128"/>
      <c r="AC51" s="185"/>
      <c r="AD51" s="143"/>
      <c r="AE51" s="153"/>
      <c r="AF51" s="128"/>
      <c r="AH51" s="143"/>
      <c r="AI51" s="153"/>
      <c r="AJ51" s="128"/>
    </row>
    <row r="52" spans="1:36" ht="13.35" hidden="1" customHeight="1" outlineLevel="1" x14ac:dyDescent="0.3">
      <c r="A52" s="64" t="s">
        <v>102</v>
      </c>
      <c r="B52" s="64" t="s">
        <v>103</v>
      </c>
      <c r="E52" s="202"/>
      <c r="F52" s="203"/>
      <c r="G52" s="257"/>
      <c r="H52" s="270">
        <v>125200</v>
      </c>
      <c r="I52" s="144">
        <v>125200</v>
      </c>
      <c r="J52" s="145">
        <f t="shared" si="31"/>
        <v>0</v>
      </c>
      <c r="K52" s="272">
        <f>23000+24200</f>
        <v>47200</v>
      </c>
      <c r="L52" s="272"/>
      <c r="M52" s="144">
        <f t="shared" si="35"/>
        <v>47200</v>
      </c>
      <c r="N52" s="144">
        <f>36600+41400</f>
        <v>78000</v>
      </c>
      <c r="O52" s="144"/>
      <c r="P52" s="144">
        <f t="shared" si="36"/>
        <v>125200</v>
      </c>
      <c r="Q52" s="183">
        <v>22053.03</v>
      </c>
      <c r="R52" s="182">
        <f>P52-Q52</f>
        <v>103146.97</v>
      </c>
      <c r="S52" s="148">
        <f t="shared" si="39"/>
        <v>125200</v>
      </c>
      <c r="T52" s="149">
        <f t="shared" si="40"/>
        <v>0.17614241214057508</v>
      </c>
      <c r="U52" s="224">
        <f t="shared" si="32"/>
        <v>0</v>
      </c>
      <c r="V52" s="150">
        <f t="shared" si="33"/>
        <v>0</v>
      </c>
      <c r="W52" s="256">
        <f>IF(ISERR(V52/P52),"-",V52/P52)</f>
        <v>0</v>
      </c>
      <c r="X52" s="184"/>
      <c r="Y52" s="185"/>
      <c r="Z52" s="137">
        <f>SUM('[1]2021-22'!C218:C232)</f>
        <v>31704.97</v>
      </c>
      <c r="AA52" s="153">
        <f>O52-Z52</f>
        <v>-31704.97</v>
      </c>
      <c r="AB52" s="128">
        <f>IF(ISERR(AA52/Z52),"-",AA52/Z52)</f>
        <v>-1</v>
      </c>
      <c r="AC52" s="185"/>
      <c r="AD52" s="137">
        <v>41672.35</v>
      </c>
      <c r="AE52" s="153">
        <f>S52-AD52</f>
        <v>83527.649999999994</v>
      </c>
      <c r="AF52" s="128">
        <f>IF(ISERR(AE52/AD52),"-",AE52/AD52)</f>
        <v>2.0043902011765593</v>
      </c>
      <c r="AH52" s="137">
        <v>43425.33</v>
      </c>
      <c r="AI52" s="153">
        <f>S52-AH52</f>
        <v>81774.67</v>
      </c>
      <c r="AJ52" s="128">
        <f t="shared" ref="AJ52" si="41">IF(ISERR(AI52/AH52),"-",AI52/AH52)</f>
        <v>1.8831099268560536</v>
      </c>
    </row>
    <row r="53" spans="1:36" ht="13.35" hidden="1" customHeight="1" outlineLevel="1" x14ac:dyDescent="0.3">
      <c r="A53" s="276" t="s">
        <v>104</v>
      </c>
      <c r="B53" s="276" t="s">
        <v>105</v>
      </c>
      <c r="C53" s="138"/>
      <c r="D53" s="118" t="s">
        <v>49</v>
      </c>
      <c r="E53" s="119"/>
      <c r="F53" s="277">
        <v>26.62</v>
      </c>
      <c r="G53" s="121">
        <f t="shared" ref="G53:G54" si="42">E53-F53</f>
        <v>-26.62</v>
      </c>
      <c r="H53" s="270">
        <v>892300</v>
      </c>
      <c r="I53" s="144">
        <f>892300+264400-18214</f>
        <v>1138486</v>
      </c>
      <c r="J53" s="145">
        <f t="shared" si="31"/>
        <v>246186</v>
      </c>
      <c r="K53" s="147">
        <f>282300+79300+86500+26400</f>
        <v>474500</v>
      </c>
      <c r="L53" s="147"/>
      <c r="M53" s="144">
        <f t="shared" si="35"/>
        <v>474500</v>
      </c>
      <c r="N53" s="144">
        <f>273200+250300+79300+79400</f>
        <v>682200</v>
      </c>
      <c r="O53" s="144">
        <v>-18214</v>
      </c>
      <c r="P53" s="144">
        <f t="shared" si="36"/>
        <v>1138486</v>
      </c>
      <c r="Q53" s="278">
        <v>247772.15</v>
      </c>
      <c r="R53" s="147">
        <f>[1]LA!I18-'[1]Operating Results'!Q53+264400</f>
        <v>838436.01</v>
      </c>
      <c r="S53" s="148">
        <f t="shared" si="39"/>
        <v>1086208.1599999999</v>
      </c>
      <c r="T53" s="149">
        <f t="shared" si="40"/>
        <v>0.22810742832202624</v>
      </c>
      <c r="U53" s="224">
        <f t="shared" si="32"/>
        <v>-52277.840000000084</v>
      </c>
      <c r="V53" s="150">
        <f t="shared" si="33"/>
        <v>52277.840000000084</v>
      </c>
      <c r="W53" s="128">
        <f>IF(ISERR(V53/P53),"-",V53/P53)</f>
        <v>4.5918737691987503E-2</v>
      </c>
      <c r="X53" s="279"/>
      <c r="Y53" s="280"/>
      <c r="Z53" s="143">
        <f>'[1]2021-22'!C237</f>
        <v>934549.97</v>
      </c>
      <c r="AA53" s="153">
        <f>O53-Z53</f>
        <v>-952763.97</v>
      </c>
      <c r="AB53" s="128">
        <f>IF(ISERR(AA53/Z53),"-",AA53/Z53)</f>
        <v>-1.0194895945478442</v>
      </c>
      <c r="AC53" s="280"/>
      <c r="AD53" s="143">
        <v>818621.04</v>
      </c>
      <c r="AE53" s="153">
        <f>S53-AD53</f>
        <v>267587.11999999988</v>
      </c>
      <c r="AF53" s="128">
        <f>IF(ISERR(AE53/AD53),"-",AE53/AD53)</f>
        <v>0.32687544898674953</v>
      </c>
      <c r="AH53" s="143">
        <v>829111.89</v>
      </c>
      <c r="AI53" s="153">
        <f>S53-AH53</f>
        <v>257096.2699999999</v>
      </c>
      <c r="AJ53" s="128">
        <f>IF(ISERR(AI53/AH53),"-",AI53/AH53)</f>
        <v>0.31008633828662124</v>
      </c>
    </row>
    <row r="54" spans="1:36" ht="13.35" hidden="1" customHeight="1" outlineLevel="1" x14ac:dyDescent="0.3">
      <c r="A54" s="276"/>
      <c r="B54" s="276"/>
      <c r="C54" s="138"/>
      <c r="D54" s="118" t="s">
        <v>50</v>
      </c>
      <c r="E54" s="119"/>
      <c r="F54" s="277">
        <f>F53</f>
        <v>26.62</v>
      </c>
      <c r="G54" s="121">
        <f t="shared" si="42"/>
        <v>-26.62</v>
      </c>
      <c r="H54" s="270"/>
      <c r="I54" s="144"/>
      <c r="J54" s="145"/>
      <c r="K54" s="147"/>
      <c r="L54" s="147"/>
      <c r="M54" s="144">
        <f t="shared" si="35"/>
        <v>0</v>
      </c>
      <c r="N54" s="144"/>
      <c r="O54" s="144"/>
      <c r="P54" s="144">
        <f t="shared" si="36"/>
        <v>0</v>
      </c>
      <c r="Q54" s="278"/>
      <c r="R54" s="147"/>
      <c r="S54" s="148"/>
      <c r="T54" s="149"/>
      <c r="U54" s="224"/>
      <c r="V54" s="150"/>
      <c r="W54" s="128"/>
      <c r="X54" s="279"/>
      <c r="Y54" s="280"/>
      <c r="Z54" s="143"/>
      <c r="AA54" s="153"/>
      <c r="AB54" s="128"/>
      <c r="AC54" s="280"/>
      <c r="AD54" s="143"/>
      <c r="AE54" s="153"/>
      <c r="AF54" s="128"/>
      <c r="AH54" s="143"/>
      <c r="AI54" s="153"/>
      <c r="AJ54" s="128"/>
    </row>
    <row r="55" spans="1:36" ht="13.35" hidden="1" customHeight="1" outlineLevel="1" x14ac:dyDescent="0.3">
      <c r="A55" s="276" t="s">
        <v>106</v>
      </c>
      <c r="B55" s="276" t="s">
        <v>107</v>
      </c>
      <c r="C55" s="138"/>
      <c r="D55" s="118"/>
      <c r="E55" s="281"/>
      <c r="F55" s="277"/>
      <c r="G55" s="121"/>
      <c r="H55" s="143"/>
      <c r="I55" s="144"/>
      <c r="J55" s="145">
        <f t="shared" si="31"/>
        <v>0</v>
      </c>
      <c r="K55" s="147"/>
      <c r="L55" s="147"/>
      <c r="M55" s="144">
        <f t="shared" si="35"/>
        <v>0</v>
      </c>
      <c r="N55" s="144"/>
      <c r="O55" s="144"/>
      <c r="P55" s="144">
        <f t="shared" si="36"/>
        <v>0</v>
      </c>
      <c r="Q55" s="278">
        <v>0</v>
      </c>
      <c r="R55" s="147">
        <v>0</v>
      </c>
      <c r="S55" s="148">
        <f t="shared" si="39"/>
        <v>0</v>
      </c>
      <c r="T55" s="149" t="str">
        <f t="shared" si="40"/>
        <v>-</v>
      </c>
      <c r="U55" s="224">
        <f t="shared" si="32"/>
        <v>0</v>
      </c>
      <c r="V55" s="150">
        <f t="shared" si="33"/>
        <v>0</v>
      </c>
      <c r="W55" s="128" t="str">
        <f t="shared" ref="W55:W60" si="43">IF(ISERR(V55/P55),"-",V55/P55)</f>
        <v>-</v>
      </c>
      <c r="X55" s="279"/>
      <c r="Y55" s="280"/>
      <c r="Z55" s="143">
        <f>'[1]2021-22'!C238</f>
        <v>8100.87</v>
      </c>
      <c r="AA55" s="153">
        <f>O55-Z55</f>
        <v>-8100.87</v>
      </c>
      <c r="AB55" s="128">
        <f>IF(ISERR(AA55/Z55),"-",AA55/Z55)</f>
        <v>-1</v>
      </c>
      <c r="AC55" s="280"/>
      <c r="AD55" s="143">
        <v>17128.48</v>
      </c>
      <c r="AE55" s="153">
        <f>S55-AD55</f>
        <v>-17128.48</v>
      </c>
      <c r="AF55" s="128">
        <f>IF(ISERR(AE55/AD55),"-",AE55/AD55)</f>
        <v>-1</v>
      </c>
      <c r="AH55" s="143">
        <v>12086.59</v>
      </c>
      <c r="AI55" s="153">
        <f>S55-AH55</f>
        <v>-12086.59</v>
      </c>
      <c r="AJ55" s="128">
        <f>IF(ISERR(AI55/AH55),"-",AI55/AH55)</f>
        <v>-1</v>
      </c>
    </row>
    <row r="56" spans="1:36" ht="13.35" hidden="1" customHeight="1" outlineLevel="1" x14ac:dyDescent="0.3">
      <c r="A56" s="276" t="s">
        <v>108</v>
      </c>
      <c r="B56" s="276" t="s">
        <v>109</v>
      </c>
      <c r="C56" s="138"/>
      <c r="D56" s="118"/>
      <c r="E56" s="281"/>
      <c r="F56" s="277"/>
      <c r="G56" s="257"/>
      <c r="H56" s="143"/>
      <c r="I56" s="144"/>
      <c r="J56" s="145">
        <f t="shared" si="31"/>
        <v>0</v>
      </c>
      <c r="K56" s="147"/>
      <c r="L56" s="147"/>
      <c r="M56" s="144">
        <f t="shared" si="35"/>
        <v>0</v>
      </c>
      <c r="N56" s="144"/>
      <c r="O56" s="144"/>
      <c r="P56" s="144">
        <f t="shared" si="36"/>
        <v>0</v>
      </c>
      <c r="Q56" s="278">
        <v>111397.85</v>
      </c>
      <c r="R56" s="147">
        <f>[1]LA!I51-'[1]Operating Results'!Q56</f>
        <v>59500.899999999994</v>
      </c>
      <c r="S56" s="148">
        <f t="shared" si="39"/>
        <v>170898.75</v>
      </c>
      <c r="T56" s="149">
        <f t="shared" si="40"/>
        <v>0.65183537035817996</v>
      </c>
      <c r="U56" s="224">
        <f t="shared" si="32"/>
        <v>170898.75</v>
      </c>
      <c r="V56" s="150">
        <f t="shared" si="33"/>
        <v>-170898.75</v>
      </c>
      <c r="W56" s="128" t="str">
        <f t="shared" si="43"/>
        <v>-</v>
      </c>
      <c r="X56" s="279"/>
      <c r="Y56" s="280"/>
      <c r="Z56" s="143">
        <f>'[1]2021-22'!C239</f>
        <v>188734.53</v>
      </c>
      <c r="AA56" s="153">
        <f>O56-Z56</f>
        <v>-188734.53</v>
      </c>
      <c r="AB56" s="128">
        <f>IF(ISERR(AA56/Z56),"-",AA56/Z56)</f>
        <v>-1</v>
      </c>
      <c r="AC56" s="280"/>
      <c r="AD56" s="143">
        <v>124062.56</v>
      </c>
      <c r="AE56" s="153">
        <f>S56-AD56</f>
        <v>46836.19</v>
      </c>
      <c r="AF56" s="128">
        <f>IF(ISERR(AE56/AD56),"-",AE56/AD56)</f>
        <v>0.377520744372839</v>
      </c>
      <c r="AH56" s="143">
        <v>119252.13</v>
      </c>
      <c r="AI56" s="153">
        <f>S56-AH56</f>
        <v>51646.619999999995</v>
      </c>
      <c r="AJ56" s="128">
        <f>IF(ISERR(AI56/AH56),"-",AI56/AH56)</f>
        <v>0.4330876102590368</v>
      </c>
    </row>
    <row r="57" spans="1:36" ht="13.35" hidden="1" customHeight="1" outlineLevel="1" x14ac:dyDescent="0.3">
      <c r="A57" s="276" t="s">
        <v>110</v>
      </c>
      <c r="B57" s="276" t="s">
        <v>111</v>
      </c>
      <c r="C57" s="138"/>
      <c r="D57" s="118"/>
      <c r="E57" s="281"/>
      <c r="F57" s="277"/>
      <c r="G57" s="257"/>
      <c r="H57" s="143">
        <v>264400</v>
      </c>
      <c r="I57" s="144">
        <v>18214</v>
      </c>
      <c r="J57" s="145">
        <f t="shared" si="31"/>
        <v>-246186</v>
      </c>
      <c r="K57" s="147"/>
      <c r="L57" s="147"/>
      <c r="M57" s="144">
        <f t="shared" si="35"/>
        <v>0</v>
      </c>
      <c r="N57" s="144"/>
      <c r="O57" s="144">
        <v>18214</v>
      </c>
      <c r="P57" s="144">
        <f t="shared" si="36"/>
        <v>18214</v>
      </c>
      <c r="Q57" s="278">
        <v>9590.69</v>
      </c>
      <c r="R57" s="147">
        <f>P57-Q57</f>
        <v>8623.31</v>
      </c>
      <c r="S57" s="148">
        <f t="shared" si="39"/>
        <v>18214</v>
      </c>
      <c r="T57" s="149">
        <f t="shared" si="40"/>
        <v>0.52655594597562316</v>
      </c>
      <c r="U57" s="224">
        <f t="shared" si="32"/>
        <v>0</v>
      </c>
      <c r="V57" s="150">
        <f t="shared" si="33"/>
        <v>0</v>
      </c>
      <c r="W57" s="128">
        <f t="shared" si="43"/>
        <v>0</v>
      </c>
      <c r="X57" s="279"/>
      <c r="Y57" s="280"/>
      <c r="Z57" s="143">
        <f>'[1]2021-22'!C244</f>
        <v>80671.91</v>
      </c>
      <c r="AA57" s="153"/>
      <c r="AB57" s="128"/>
      <c r="AC57" s="280"/>
      <c r="AD57" s="143"/>
      <c r="AE57" s="153"/>
      <c r="AF57" s="128"/>
      <c r="AH57" s="143"/>
      <c r="AI57" s="153"/>
      <c r="AJ57" s="128"/>
    </row>
    <row r="58" spans="1:36" ht="13.35" hidden="1" customHeight="1" outlineLevel="1" x14ac:dyDescent="0.3">
      <c r="A58" s="276" t="s">
        <v>112</v>
      </c>
      <c r="B58" s="276" t="s">
        <v>113</v>
      </c>
      <c r="C58" s="138"/>
      <c r="D58" s="118"/>
      <c r="E58" s="281"/>
      <c r="F58" s="277"/>
      <c r="G58" s="257"/>
      <c r="H58" s="143"/>
      <c r="I58" s="144"/>
      <c r="J58" s="145">
        <f t="shared" si="31"/>
        <v>0</v>
      </c>
      <c r="K58" s="147"/>
      <c r="L58" s="147">
        <v>1722</v>
      </c>
      <c r="M58" s="144">
        <f t="shared" si="35"/>
        <v>1722</v>
      </c>
      <c r="N58" s="144"/>
      <c r="O58" s="144"/>
      <c r="P58" s="144">
        <f t="shared" si="36"/>
        <v>1722</v>
      </c>
      <c r="Q58" s="278">
        <v>156658.19</v>
      </c>
      <c r="R58" s="147">
        <f>P58-Q58</f>
        <v>-154936.19</v>
      </c>
      <c r="S58" s="148">
        <f t="shared" si="39"/>
        <v>1722</v>
      </c>
      <c r="T58" s="149">
        <f t="shared" si="40"/>
        <v>90.974558652729385</v>
      </c>
      <c r="U58" s="224">
        <f t="shared" si="32"/>
        <v>1722</v>
      </c>
      <c r="V58" s="150">
        <f t="shared" si="33"/>
        <v>0</v>
      </c>
      <c r="W58" s="128">
        <f t="shared" si="43"/>
        <v>0</v>
      </c>
      <c r="X58" s="279"/>
      <c r="Y58" s="280"/>
      <c r="Z58" s="143">
        <f>'[1]2021-22'!C278</f>
        <v>74728.08</v>
      </c>
      <c r="AA58" s="153">
        <f>O58-Z58</f>
        <v>-74728.08</v>
      </c>
      <c r="AB58" s="128">
        <f>IF(ISERR(AA58/Z58),"-",AA58/Z58)</f>
        <v>-1</v>
      </c>
      <c r="AC58" s="280"/>
      <c r="AD58" s="143">
        <v>0</v>
      </c>
      <c r="AE58" s="153">
        <f>S58-AD58</f>
        <v>1722</v>
      </c>
      <c r="AF58" s="128" t="str">
        <f>IF(ISERR(AE58/AD58),"-",AE58/AD58)</f>
        <v>-</v>
      </c>
      <c r="AH58" s="143">
        <v>3464.5</v>
      </c>
      <c r="AI58" s="153">
        <f>S58-AH58</f>
        <v>-1742.5</v>
      </c>
      <c r="AJ58" s="128">
        <f>IF(ISERR(AI58/AH58),"-",AI58/AH58)</f>
        <v>-0.50295857988165682</v>
      </c>
    </row>
    <row r="59" spans="1:36" ht="13.35" hidden="1" customHeight="1" outlineLevel="1" x14ac:dyDescent="0.3">
      <c r="A59" s="276" t="s">
        <v>114</v>
      </c>
      <c r="B59" s="276" t="s">
        <v>115</v>
      </c>
      <c r="C59" s="138"/>
      <c r="D59" s="118"/>
      <c r="E59" s="281"/>
      <c r="F59" s="277"/>
      <c r="G59" s="257"/>
      <c r="H59" s="143"/>
      <c r="I59" s="144"/>
      <c r="J59" s="145">
        <f t="shared" si="31"/>
        <v>0</v>
      </c>
      <c r="K59" s="147"/>
      <c r="L59" s="147">
        <f>1000</f>
        <v>1000</v>
      </c>
      <c r="M59" s="144">
        <f t="shared" si="35"/>
        <v>1000</v>
      </c>
      <c r="N59" s="144"/>
      <c r="O59" s="144"/>
      <c r="P59" s="144">
        <f t="shared" si="36"/>
        <v>1000</v>
      </c>
      <c r="Q59" s="278">
        <v>72589.16</v>
      </c>
      <c r="R59" s="147">
        <f>P59-Q59</f>
        <v>-71589.16</v>
      </c>
      <c r="S59" s="148">
        <f t="shared" si="39"/>
        <v>1000</v>
      </c>
      <c r="T59" s="149">
        <f t="shared" si="40"/>
        <v>72.589160000000007</v>
      </c>
      <c r="U59" s="224">
        <f t="shared" si="32"/>
        <v>1000</v>
      </c>
      <c r="V59" s="150">
        <f t="shared" si="33"/>
        <v>0</v>
      </c>
      <c r="W59" s="128">
        <f t="shared" si="43"/>
        <v>0</v>
      </c>
      <c r="X59" s="279"/>
      <c r="Y59" s="280"/>
      <c r="Z59" s="143">
        <f>'[1]2021-22'!C214</f>
        <v>159979.72</v>
      </c>
      <c r="AA59" s="153"/>
      <c r="AB59" s="128"/>
      <c r="AC59" s="280"/>
      <c r="AD59" s="143"/>
      <c r="AE59" s="153"/>
      <c r="AF59" s="128"/>
      <c r="AH59" s="143"/>
      <c r="AI59" s="153"/>
      <c r="AJ59" s="128"/>
    </row>
    <row r="60" spans="1:36" ht="13.35" customHeight="1" collapsed="1" x14ac:dyDescent="0.3">
      <c r="A60" s="1" t="s">
        <v>116</v>
      </c>
      <c r="E60" s="258">
        <f>SUM(E43:E59)</f>
        <v>0</v>
      </c>
      <c r="F60" s="189">
        <f>F44+F51+F54</f>
        <v>158.14000000000001</v>
      </c>
      <c r="G60" s="190">
        <f t="shared" ref="G60:S60" si="44">SUM(G43:G59)</f>
        <v>-316.28000000000003</v>
      </c>
      <c r="H60" s="193">
        <f t="shared" si="44"/>
        <v>10068200</v>
      </c>
      <c r="I60" s="193">
        <f t="shared" si="44"/>
        <v>10573220</v>
      </c>
      <c r="J60" s="259">
        <f t="shared" si="44"/>
        <v>505020</v>
      </c>
      <c r="K60" s="193">
        <f t="shared" si="44"/>
        <v>4488500</v>
      </c>
      <c r="L60" s="193">
        <f t="shared" si="44"/>
        <v>2722</v>
      </c>
      <c r="M60" s="193">
        <f t="shared" si="44"/>
        <v>4491222</v>
      </c>
      <c r="N60" s="193">
        <f t="shared" si="44"/>
        <v>5579700</v>
      </c>
      <c r="O60" s="282">
        <f t="shared" si="44"/>
        <v>1038718</v>
      </c>
      <c r="P60" s="193">
        <f t="shared" si="44"/>
        <v>11109640</v>
      </c>
      <c r="Q60" s="195">
        <f t="shared" si="44"/>
        <v>5320268.0200000014</v>
      </c>
      <c r="R60" s="193">
        <f t="shared" si="44"/>
        <v>5422603.9649999989</v>
      </c>
      <c r="S60" s="193">
        <f t="shared" si="44"/>
        <v>10742871.984999999</v>
      </c>
      <c r="T60" s="196">
        <f t="shared" si="40"/>
        <v>0.4952370304168715</v>
      </c>
      <c r="U60" s="260">
        <f>SUM(U43:U59)</f>
        <v>169651.98499999999</v>
      </c>
      <c r="V60" s="197">
        <f>SUM(V43:V59)</f>
        <v>366768.01500000001</v>
      </c>
      <c r="W60" s="198">
        <f t="shared" si="43"/>
        <v>3.3013492336385342E-2</v>
      </c>
      <c r="X60" s="199"/>
      <c r="Y60" s="185"/>
      <c r="Z60" s="200">
        <f>SUM(Z43:Z59)</f>
        <v>10330322.420000002</v>
      </c>
      <c r="AA60" s="261">
        <f>SUM(AA43:AA59)</f>
        <v>-9069166.7899999991</v>
      </c>
      <c r="AB60" s="198">
        <f>IF(ISERR(AA60/Z60),"-",AA60/Z60)</f>
        <v>-0.87791710861237549</v>
      </c>
      <c r="AC60" s="185"/>
      <c r="AD60" s="200">
        <f>SUM(AD43:AD59)</f>
        <v>7930549.4199999999</v>
      </c>
      <c r="AE60" s="261">
        <f>SUM(AE43:AE59)</f>
        <v>2793108.5649999995</v>
      </c>
      <c r="AF60" s="198">
        <f>IF(ISERR(AE60/AD60),"-",AE60/AD60)</f>
        <v>0.35219609853966455</v>
      </c>
      <c r="AH60" s="200">
        <v>7905239.8699999992</v>
      </c>
      <c r="AI60" s="261">
        <f>SUM(AI43:AI59)</f>
        <v>2818418.1150000007</v>
      </c>
      <c r="AJ60" s="198">
        <f t="shared" ref="AJ60" si="45">IF(ISERR(AI60/AH60),"-",AI60/AH60)</f>
        <v>0.35652531249504021</v>
      </c>
    </row>
    <row r="61" spans="1:36" ht="13.35" customHeight="1" x14ac:dyDescent="0.3">
      <c r="A61" s="1"/>
      <c r="B61" s="12"/>
      <c r="E61" s="202"/>
      <c r="F61" s="203"/>
      <c r="G61" s="204"/>
      <c r="H61" s="202"/>
      <c r="I61" s="182"/>
      <c r="J61" s="182"/>
      <c r="K61" s="182"/>
      <c r="L61" s="182"/>
      <c r="M61" s="182"/>
      <c r="N61" s="182"/>
      <c r="O61" s="182"/>
      <c r="P61" s="182"/>
      <c r="Q61" s="183"/>
      <c r="R61" s="182"/>
      <c r="S61" s="182"/>
      <c r="T61" s="126"/>
      <c r="U61" s="262"/>
      <c r="V61" s="263"/>
      <c r="W61" s="209"/>
      <c r="X61" s="210"/>
      <c r="Y61" s="211"/>
      <c r="Z61" s="109"/>
      <c r="AA61" s="114"/>
      <c r="AB61" s="115"/>
      <c r="AC61" s="211"/>
      <c r="AD61" s="109"/>
      <c r="AE61" s="114"/>
      <c r="AF61" s="115"/>
      <c r="AH61" s="109"/>
      <c r="AI61" s="114"/>
      <c r="AJ61" s="115"/>
    </row>
    <row r="62" spans="1:36" ht="13.35" customHeight="1" x14ac:dyDescent="0.3">
      <c r="A62" s="1"/>
      <c r="B62" s="12"/>
      <c r="E62" s="202"/>
      <c r="F62" s="203"/>
      <c r="G62" s="204"/>
      <c r="H62" s="202"/>
      <c r="I62" s="182"/>
      <c r="J62" s="182"/>
      <c r="K62" s="182"/>
      <c r="L62" s="182"/>
      <c r="M62" s="182"/>
      <c r="N62" s="182"/>
      <c r="O62" s="182"/>
      <c r="P62" s="182"/>
      <c r="Q62" s="183"/>
      <c r="R62" s="182"/>
      <c r="S62" s="182"/>
      <c r="T62" s="126"/>
      <c r="U62" s="262"/>
      <c r="V62" s="263"/>
      <c r="W62" s="209"/>
      <c r="X62" s="210"/>
      <c r="Y62" s="211"/>
      <c r="Z62" s="109"/>
      <c r="AA62" s="114"/>
      <c r="AB62" s="115"/>
      <c r="AC62" s="211"/>
      <c r="AD62" s="109"/>
      <c r="AE62" s="114"/>
      <c r="AF62" s="115"/>
      <c r="AH62" s="109"/>
      <c r="AI62" s="114"/>
      <c r="AJ62" s="115"/>
    </row>
    <row r="63" spans="1:36" ht="13.35" hidden="1" customHeight="1" outlineLevel="1" x14ac:dyDescent="0.3">
      <c r="A63" s="116" t="s">
        <v>117</v>
      </c>
      <c r="B63" s="12"/>
      <c r="E63" s="202"/>
      <c r="F63" s="203"/>
      <c r="G63" s="204"/>
      <c r="H63" s="202"/>
      <c r="I63" s="182"/>
      <c r="J63" s="182"/>
      <c r="K63" s="182"/>
      <c r="L63" s="182"/>
      <c r="M63" s="182"/>
      <c r="N63" s="182"/>
      <c r="O63" s="182"/>
      <c r="P63" s="182"/>
      <c r="Q63" s="183"/>
      <c r="R63" s="182"/>
      <c r="S63" s="182"/>
      <c r="T63" s="182"/>
      <c r="U63" s="264"/>
      <c r="V63" s="263"/>
      <c r="W63" s="209"/>
      <c r="X63" s="210"/>
      <c r="Y63" s="211"/>
      <c r="Z63" s="109"/>
      <c r="AA63" s="114"/>
      <c r="AB63" s="115"/>
      <c r="AC63" s="211"/>
      <c r="AD63" s="109"/>
      <c r="AE63" s="114"/>
      <c r="AF63" s="115"/>
      <c r="AH63" s="109"/>
      <c r="AI63" s="114"/>
      <c r="AJ63" s="115"/>
    </row>
    <row r="64" spans="1:36" ht="13.35" hidden="1" customHeight="1" outlineLevel="1" x14ac:dyDescent="0.3">
      <c r="A64" s="64" t="s">
        <v>118</v>
      </c>
      <c r="B64" s="13" t="s">
        <v>119</v>
      </c>
      <c r="D64" s="118" t="s">
        <v>49</v>
      </c>
      <c r="E64" s="119"/>
      <c r="F64" s="203">
        <v>8.5</v>
      </c>
      <c r="G64" s="121">
        <f t="shared" ref="G64:G65" si="46">E64-F64</f>
        <v>-8.5</v>
      </c>
      <c r="H64" s="143">
        <v>506900</v>
      </c>
      <c r="I64" s="123">
        <v>506900</v>
      </c>
      <c r="J64" s="134">
        <f t="shared" ref="J64:J72" si="47">I64-H64</f>
        <v>0</v>
      </c>
      <c r="K64" s="271">
        <f>126200+128200</f>
        <v>254400</v>
      </c>
      <c r="L64" s="271"/>
      <c r="M64" s="123">
        <f>K64+L64</f>
        <v>254400</v>
      </c>
      <c r="N64" s="123">
        <f>126200+126300</f>
        <v>252500</v>
      </c>
      <c r="O64" s="123"/>
      <c r="P64" s="123">
        <f>M64+N64+O64</f>
        <v>506900</v>
      </c>
      <c r="Q64" s="274">
        <v>193371.85</v>
      </c>
      <c r="R64" s="275">
        <f>'[1]Comm Sch'!I18-'[1]Operating Results'!Q64</f>
        <v>236702.28</v>
      </c>
      <c r="S64" s="275">
        <f t="shared" ref="S64:S70" si="48">SUM(Q64:R64)</f>
        <v>430074.13</v>
      </c>
      <c r="T64" s="149">
        <f t="shared" ref="T64:T71" si="49">IF(ISERR(Q64/S64),"-",Q64/S64)</f>
        <v>0.44962446357794178</v>
      </c>
      <c r="U64" s="224">
        <f t="shared" ref="U64:U72" si="50">S64-I64</f>
        <v>-76825.87</v>
      </c>
      <c r="V64" s="208">
        <f t="shared" ref="V64:V72" si="51">P64-S64</f>
        <v>76825.87</v>
      </c>
      <c r="W64" s="256">
        <f>IF(ISERR(V64/P64),"-",V64/P64)</f>
        <v>0.15156020911422372</v>
      </c>
      <c r="X64" s="184"/>
      <c r="Y64" s="185"/>
      <c r="Z64" s="131">
        <f>'[1]2021-22'!C304</f>
        <v>349801.03</v>
      </c>
      <c r="AA64" s="283">
        <f>O64-Z64</f>
        <v>-349801.03</v>
      </c>
      <c r="AB64" s="256">
        <f>IF(ISERR(AA64/Z64),"-",AA64/Z64)</f>
        <v>-1</v>
      </c>
      <c r="AC64" s="185"/>
      <c r="AD64" s="131">
        <v>339976.84</v>
      </c>
      <c r="AE64" s="283">
        <f>S64-AD64</f>
        <v>90097.289999999979</v>
      </c>
      <c r="AF64" s="256">
        <f>IF(ISERR(AE64/AD64),"-",AE64/AD64)</f>
        <v>0.26501008127494796</v>
      </c>
      <c r="AH64" s="131">
        <v>341631.36</v>
      </c>
      <c r="AI64" s="283">
        <f>S64-AH64</f>
        <v>88442.770000000019</v>
      </c>
      <c r="AJ64" s="256">
        <f t="shared" ref="AJ64" si="52">IF(ISERR(AI64/AH64),"-",AI64/AH64)</f>
        <v>0.25888363995623825</v>
      </c>
    </row>
    <row r="65" spans="1:36" ht="13.35" hidden="1" customHeight="1" outlineLevel="1" x14ac:dyDescent="0.3">
      <c r="A65" s="64"/>
      <c r="D65" s="118" t="s">
        <v>50</v>
      </c>
      <c r="E65" s="119"/>
      <c r="F65" s="203">
        <f>F64</f>
        <v>8.5</v>
      </c>
      <c r="G65" s="121">
        <f t="shared" si="46"/>
        <v>-8.5</v>
      </c>
      <c r="H65" s="143"/>
      <c r="I65" s="123"/>
      <c r="J65" s="134"/>
      <c r="K65" s="271"/>
      <c r="L65" s="271"/>
      <c r="M65" s="123"/>
      <c r="N65" s="123"/>
      <c r="O65" s="123"/>
      <c r="P65" s="144"/>
      <c r="Q65" s="274"/>
      <c r="R65" s="275"/>
      <c r="S65" s="275"/>
      <c r="T65" s="149"/>
      <c r="U65" s="224"/>
      <c r="V65" s="208"/>
      <c r="W65" s="256"/>
      <c r="X65" s="184"/>
      <c r="Y65" s="185"/>
      <c r="Z65" s="137"/>
      <c r="AA65" s="283"/>
      <c r="AB65" s="256"/>
      <c r="AC65" s="185"/>
      <c r="AD65" s="137"/>
      <c r="AE65" s="283"/>
      <c r="AF65" s="256"/>
      <c r="AH65" s="137"/>
      <c r="AI65" s="283"/>
      <c r="AJ65" s="256"/>
    </row>
    <row r="66" spans="1:36" ht="13.35" hidden="1" customHeight="1" outlineLevel="1" x14ac:dyDescent="0.3">
      <c r="A66" s="64" t="s">
        <v>120</v>
      </c>
      <c r="B66" s="13" t="s">
        <v>121</v>
      </c>
      <c r="E66" s="178"/>
      <c r="F66" s="179"/>
      <c r="G66" s="180"/>
      <c r="H66" s="143">
        <v>38200</v>
      </c>
      <c r="I66" s="144">
        <v>38200</v>
      </c>
      <c r="J66" s="145">
        <f t="shared" si="47"/>
        <v>0</v>
      </c>
      <c r="K66" s="272">
        <f>5500+3500</f>
        <v>9000</v>
      </c>
      <c r="L66" s="272"/>
      <c r="M66" s="144">
        <f>K66+L66</f>
        <v>9000</v>
      </c>
      <c r="N66" s="144">
        <f>8400+20800</f>
        <v>29200</v>
      </c>
      <c r="O66" s="144"/>
      <c r="P66" s="144">
        <f>M66+N66+O66</f>
        <v>38200</v>
      </c>
      <c r="Q66" s="284">
        <v>9049.33</v>
      </c>
      <c r="R66" s="285">
        <f>P66-Q66</f>
        <v>29150.67</v>
      </c>
      <c r="S66" s="148">
        <f t="shared" si="48"/>
        <v>38200</v>
      </c>
      <c r="T66" s="149">
        <f t="shared" si="49"/>
        <v>0.23689345549738219</v>
      </c>
      <c r="U66" s="224">
        <f t="shared" si="50"/>
        <v>0</v>
      </c>
      <c r="V66" s="150">
        <f t="shared" si="51"/>
        <v>0</v>
      </c>
      <c r="W66" s="256">
        <f t="shared" ref="W66:W73" si="53">IF(ISERR(V66/P66),"-",V66/P66)</f>
        <v>0</v>
      </c>
      <c r="X66" s="184"/>
      <c r="Y66" s="185"/>
      <c r="Z66" s="186">
        <f>SUM('[1]2021-22'!C305:C318)</f>
        <v>25194.140000000003</v>
      </c>
      <c r="AA66" s="255">
        <f>O66-Z66</f>
        <v>-25194.140000000003</v>
      </c>
      <c r="AB66" s="256">
        <f>IF(ISERR(AA66/Z66),"-",AA66/Z66)</f>
        <v>-1</v>
      </c>
      <c r="AC66" s="185"/>
      <c r="AD66" s="186">
        <v>29179.589999999997</v>
      </c>
      <c r="AE66" s="255">
        <f>S66-AD66</f>
        <v>9020.4100000000035</v>
      </c>
      <c r="AF66" s="256">
        <f>IF(ISERR(AE66/AD66),"-",AE66/AD66)</f>
        <v>0.30913422704020188</v>
      </c>
      <c r="AH66" s="186">
        <v>30901.54</v>
      </c>
      <c r="AI66" s="255">
        <f>S66-AH66</f>
        <v>7298.4599999999991</v>
      </c>
      <c r="AJ66" s="256">
        <f t="shared" ref="AJ66:AJ70" si="54">IF(ISERR(AI66/AH66),"-",AI66/AH66)</f>
        <v>0.23618434550511072</v>
      </c>
    </row>
    <row r="67" spans="1:36" ht="13.35" hidden="1" customHeight="1" outlineLevel="1" x14ac:dyDescent="0.3">
      <c r="A67" s="64" t="s">
        <v>122</v>
      </c>
      <c r="B67" s="64" t="s">
        <v>123</v>
      </c>
      <c r="E67" s="202"/>
      <c r="F67" s="203"/>
      <c r="G67" s="204"/>
      <c r="H67" s="143"/>
      <c r="I67" s="144"/>
      <c r="J67" s="145">
        <f t="shared" si="47"/>
        <v>0</v>
      </c>
      <c r="K67" s="272"/>
      <c r="L67" s="272"/>
      <c r="M67" s="144">
        <f t="shared" ref="M67:M72" si="55">K67+L67</f>
        <v>0</v>
      </c>
      <c r="N67" s="144"/>
      <c r="O67" s="144"/>
      <c r="P67" s="144">
        <f t="shared" ref="P67:P72" si="56">M67+N67+O67</f>
        <v>0</v>
      </c>
      <c r="Q67" s="284">
        <v>0</v>
      </c>
      <c r="R67" s="285"/>
      <c r="S67" s="148">
        <f>SUM(Q67:R67)</f>
        <v>0</v>
      </c>
      <c r="T67" s="149" t="str">
        <f>IF(ISERR(Q67/S67),"-",Q67/S67)</f>
        <v>-</v>
      </c>
      <c r="U67" s="224">
        <f t="shared" si="50"/>
        <v>0</v>
      </c>
      <c r="V67" s="150">
        <f t="shared" si="51"/>
        <v>0</v>
      </c>
      <c r="W67" s="128" t="str">
        <f t="shared" si="53"/>
        <v>-</v>
      </c>
      <c r="X67" s="184"/>
      <c r="Y67" s="185"/>
      <c r="Z67" s="186">
        <f>'[1]2021-22'!C382</f>
        <v>3406.6</v>
      </c>
      <c r="AA67" s="153"/>
      <c r="AB67" s="128">
        <f>IF(ISERR(AA67/Z67),"-",AA67/Z67)</f>
        <v>0</v>
      </c>
      <c r="AC67" s="185"/>
      <c r="AD67" s="186"/>
      <c r="AE67" s="153"/>
      <c r="AF67" s="128" t="str">
        <f>IF(ISERR(AE67/AD67),"-",AE67/AD67)</f>
        <v>-</v>
      </c>
      <c r="AH67" s="186"/>
      <c r="AI67" s="153"/>
      <c r="AJ67" s="128" t="str">
        <f t="shared" si="54"/>
        <v>-</v>
      </c>
    </row>
    <row r="68" spans="1:36" ht="13.35" hidden="1" customHeight="1" outlineLevel="1" x14ac:dyDescent="0.3">
      <c r="A68" s="64" t="s">
        <v>124</v>
      </c>
      <c r="B68" s="64" t="s">
        <v>125</v>
      </c>
      <c r="E68" s="202"/>
      <c r="F68" s="203"/>
      <c r="G68" s="204"/>
      <c r="H68" s="143">
        <f>190500+57200</f>
        <v>247700</v>
      </c>
      <c r="I68" s="144">
        <v>247700</v>
      </c>
      <c r="J68" s="145">
        <f t="shared" si="47"/>
        <v>0</v>
      </c>
      <c r="K68" s="272">
        <f>38700+17200+34100+5700</f>
        <v>95700</v>
      </c>
      <c r="L68" s="272"/>
      <c r="M68" s="144">
        <f t="shared" si="55"/>
        <v>95700</v>
      </c>
      <c r="N68" s="144">
        <f>41500+76200+17200+17100</f>
        <v>152000</v>
      </c>
      <c r="O68" s="144"/>
      <c r="P68" s="144">
        <f t="shared" si="56"/>
        <v>247700</v>
      </c>
      <c r="Q68" s="284">
        <v>13625.77</v>
      </c>
      <c r="R68" s="285">
        <f>P68-Q68</f>
        <v>234074.23</v>
      </c>
      <c r="S68" s="148">
        <f>SUM(Q68:R68)</f>
        <v>247700</v>
      </c>
      <c r="T68" s="149">
        <f>IF(ISERR(Q68/S68),"-",Q68/S68)</f>
        <v>5.5009164311667344E-2</v>
      </c>
      <c r="U68" s="224">
        <f t="shared" si="50"/>
        <v>0</v>
      </c>
      <c r="V68" s="150">
        <f t="shared" si="51"/>
        <v>0</v>
      </c>
      <c r="W68" s="128">
        <f t="shared" si="53"/>
        <v>0</v>
      </c>
      <c r="X68" s="184"/>
      <c r="Y68" s="185"/>
      <c r="Z68" s="186">
        <f>SUM('[1]2021-22'!C383:C386)</f>
        <v>79784.19</v>
      </c>
      <c r="AA68" s="153">
        <f>O68-Z68</f>
        <v>-79784.19</v>
      </c>
      <c r="AB68" s="128">
        <f>IF(ISERR(AA68/Z68),"-",AA68/Z68)</f>
        <v>-1</v>
      </c>
      <c r="AC68" s="185"/>
      <c r="AD68" s="186">
        <v>106653.3</v>
      </c>
      <c r="AE68" s="153">
        <f>S68-AD68</f>
        <v>141046.70000000001</v>
      </c>
      <c r="AF68" s="128">
        <f>IF(ISERR(AE68/AD68),"-",AE68/AD68)</f>
        <v>1.3224785355914914</v>
      </c>
      <c r="AH68" s="186">
        <v>81931.09</v>
      </c>
      <c r="AI68" s="153">
        <f>S68-AH68</f>
        <v>165768.91</v>
      </c>
      <c r="AJ68" s="128">
        <f t="shared" si="54"/>
        <v>2.0232723621765563</v>
      </c>
    </row>
    <row r="69" spans="1:36" ht="13.35" hidden="1" customHeight="1" outlineLevel="1" x14ac:dyDescent="0.3">
      <c r="A69" s="64" t="s">
        <v>126</v>
      </c>
      <c r="B69" s="64" t="s">
        <v>127</v>
      </c>
      <c r="E69" s="202"/>
      <c r="F69" s="203"/>
      <c r="G69" s="204"/>
      <c r="H69" s="143"/>
      <c r="I69" s="144"/>
      <c r="J69" s="145">
        <f t="shared" si="47"/>
        <v>0</v>
      </c>
      <c r="K69" s="272"/>
      <c r="L69" s="272">
        <v>1000</v>
      </c>
      <c r="M69" s="144">
        <f t="shared" si="55"/>
        <v>1000</v>
      </c>
      <c r="N69" s="144"/>
      <c r="O69" s="144"/>
      <c r="P69" s="144">
        <f t="shared" si="56"/>
        <v>1000</v>
      </c>
      <c r="Q69" s="284">
        <v>110934.32</v>
      </c>
      <c r="R69" s="285">
        <f>P69-Q69</f>
        <v>-109934.32</v>
      </c>
      <c r="S69" s="148">
        <f>SUM(Q69:R69)</f>
        <v>1000</v>
      </c>
      <c r="T69" s="149">
        <f>IF(ISERR(Q69/S69),"-",Q69/S69)</f>
        <v>110.93432000000001</v>
      </c>
      <c r="U69" s="224">
        <f t="shared" si="50"/>
        <v>1000</v>
      </c>
      <c r="V69" s="150">
        <f t="shared" si="51"/>
        <v>0</v>
      </c>
      <c r="W69" s="128">
        <f t="shared" si="53"/>
        <v>0</v>
      </c>
      <c r="X69" s="184"/>
      <c r="Y69" s="185"/>
      <c r="Z69" s="186">
        <f>'[1]2021-22'!C551</f>
        <v>333057.08</v>
      </c>
      <c r="AA69" s="153">
        <f>O69-Z69</f>
        <v>-333057.08</v>
      </c>
      <c r="AB69" s="128">
        <f>IF(ISERR(AA69/Z69),"-",AA69/Z69)</f>
        <v>-1</v>
      </c>
      <c r="AC69" s="185"/>
      <c r="AD69" s="186">
        <v>504482.26</v>
      </c>
      <c r="AE69" s="153">
        <f>S69-AD69</f>
        <v>-503482.26</v>
      </c>
      <c r="AF69" s="128">
        <f>IF(ISERR(AE69/AD69),"-",AE69/AD69)</f>
        <v>-0.99801776974278544</v>
      </c>
      <c r="AH69" s="186">
        <v>349062.7</v>
      </c>
      <c r="AI69" s="153">
        <f>S69-AH69</f>
        <v>-348062.7</v>
      </c>
      <c r="AJ69" s="128">
        <f t="shared" si="54"/>
        <v>-0.997135185168739</v>
      </c>
    </row>
    <row r="70" spans="1:36" ht="13.35" hidden="1" customHeight="1" outlineLevel="1" x14ac:dyDescent="0.3">
      <c r="A70" s="64" t="s">
        <v>128</v>
      </c>
      <c r="B70" s="64" t="s">
        <v>129</v>
      </c>
      <c r="E70" s="202"/>
      <c r="F70" s="203"/>
      <c r="G70" s="121"/>
      <c r="H70" s="143">
        <v>413000</v>
      </c>
      <c r="I70" s="144">
        <v>413000</v>
      </c>
      <c r="J70" s="145">
        <f t="shared" si="47"/>
        <v>0</v>
      </c>
      <c r="K70" s="272">
        <v>89000</v>
      </c>
      <c r="L70" s="272"/>
      <c r="M70" s="144">
        <f t="shared" si="55"/>
        <v>89000</v>
      </c>
      <c r="N70" s="144">
        <f>119100+204900</f>
        <v>324000</v>
      </c>
      <c r="O70" s="144"/>
      <c r="P70" s="144">
        <f t="shared" si="56"/>
        <v>413000</v>
      </c>
      <c r="Q70" s="183">
        <v>50448.46</v>
      </c>
      <c r="R70" s="182">
        <f>P70-Q70</f>
        <v>362551.54</v>
      </c>
      <c r="S70" s="148">
        <f t="shared" si="48"/>
        <v>413000</v>
      </c>
      <c r="T70" s="149">
        <f t="shared" si="49"/>
        <v>0.12215123486682808</v>
      </c>
      <c r="U70" s="224">
        <f t="shared" si="50"/>
        <v>0</v>
      </c>
      <c r="V70" s="150">
        <f t="shared" si="51"/>
        <v>0</v>
      </c>
      <c r="W70" s="256">
        <f t="shared" si="53"/>
        <v>0</v>
      </c>
      <c r="X70" s="184"/>
      <c r="Y70" s="185"/>
      <c r="Z70" s="186">
        <f>'[1]2021-22'!C575</f>
        <v>222068.81</v>
      </c>
      <c r="AA70" s="255">
        <f>O70-Z70</f>
        <v>-222068.81</v>
      </c>
      <c r="AB70" s="256">
        <f>IF(ISERR(AA70/Z70),"-",AA70/Z70)</f>
        <v>-1</v>
      </c>
      <c r="AC70" s="185"/>
      <c r="AD70" s="186">
        <v>268681.84999999998</v>
      </c>
      <c r="AE70" s="255">
        <f>S70-AD70</f>
        <v>144318.15000000002</v>
      </c>
      <c r="AF70" s="256">
        <f>IF(ISERR(AE70/AD70),"-",AE70/AD70)</f>
        <v>0.53713397462463519</v>
      </c>
      <c r="AH70" s="186">
        <v>263101.90999999997</v>
      </c>
      <c r="AI70" s="255">
        <f>S70-AH70</f>
        <v>149898.09000000003</v>
      </c>
      <c r="AJ70" s="256">
        <f t="shared" si="54"/>
        <v>0.56973394833963786</v>
      </c>
    </row>
    <row r="71" spans="1:36" ht="13.35" hidden="1" customHeight="1" outlineLevel="1" x14ac:dyDescent="0.3">
      <c r="A71" s="64" t="s">
        <v>130</v>
      </c>
      <c r="B71" s="64" t="s">
        <v>131</v>
      </c>
      <c r="E71" s="202"/>
      <c r="F71" s="203"/>
      <c r="G71" s="121"/>
      <c r="H71" s="143"/>
      <c r="I71" s="177">
        <v>95000</v>
      </c>
      <c r="J71" s="145">
        <f t="shared" si="47"/>
        <v>95000</v>
      </c>
      <c r="K71" s="272"/>
      <c r="L71" s="272">
        <f>5000</f>
        <v>5000</v>
      </c>
      <c r="M71" s="144">
        <f t="shared" si="55"/>
        <v>5000</v>
      </c>
      <c r="N71" s="144"/>
      <c r="O71" s="144">
        <v>95000</v>
      </c>
      <c r="P71" s="144">
        <f t="shared" si="56"/>
        <v>100000</v>
      </c>
      <c r="Q71" s="183">
        <f>298373.9+96.94+1488.65+10367.24+1199.58+977.28+34012.17+1890.34+358.68+10185.4+2244.17+9192.21+983.21+2082.51+366+979.33</f>
        <v>374797.61000000016</v>
      </c>
      <c r="R71" s="182">
        <f>P71-Q71</f>
        <v>-274797.61000000016</v>
      </c>
      <c r="S71" s="148">
        <f t="shared" ref="S71" si="57">SUM(Q71:R71)</f>
        <v>100000</v>
      </c>
      <c r="T71" s="149">
        <f t="shared" si="49"/>
        <v>3.7479761000000016</v>
      </c>
      <c r="U71" s="224">
        <f t="shared" si="50"/>
        <v>5000</v>
      </c>
      <c r="V71" s="150">
        <f t="shared" si="51"/>
        <v>0</v>
      </c>
      <c r="W71" s="256">
        <f t="shared" si="53"/>
        <v>0</v>
      </c>
      <c r="X71" s="184"/>
      <c r="Y71" s="185"/>
      <c r="Z71" s="186">
        <f>'[1]2021-22'!C373+'[1]2021-22'!C394+'[1]2021-22'!C409+'[1]2021-22'!C435+'[1]2021-22'!C443+'[1]2021-22'!C448+'[1]2021-22'!C463+'[1]2021-22'!C477+'[1]2021-22'!C489+'[1]2021-22'!C499+'[1]2021-22'!C505+'[1]2021-22'!C521+'[1]2021-22'!C530+'[1]2021-22'!C594+'[1]2021-22'!C599+'[1]2021-22'!C610+'[1]2021-22'!C621+'[1]2021-22'!C626+'[1]2021-22'!C632+'[1]2021-22'!C643</f>
        <v>826832.1</v>
      </c>
      <c r="AA71" s="255"/>
      <c r="AB71" s="256"/>
      <c r="AC71" s="185"/>
      <c r="AD71" s="186"/>
      <c r="AE71" s="255"/>
      <c r="AF71" s="256"/>
      <c r="AH71" s="186"/>
      <c r="AI71" s="255"/>
      <c r="AJ71" s="256"/>
    </row>
    <row r="72" spans="1:36" ht="13.35" hidden="1" customHeight="1" outlineLevel="1" x14ac:dyDescent="0.3">
      <c r="A72" s="64" t="s">
        <v>132</v>
      </c>
      <c r="B72" s="13" t="s">
        <v>133</v>
      </c>
      <c r="E72" s="281"/>
      <c r="F72" s="203"/>
      <c r="G72" s="121"/>
      <c r="H72" s="143">
        <v>208700</v>
      </c>
      <c r="I72" s="144">
        <v>208700</v>
      </c>
      <c r="J72" s="145">
        <f t="shared" si="47"/>
        <v>0</v>
      </c>
      <c r="K72" s="286">
        <f>62600+20900</f>
        <v>83500</v>
      </c>
      <c r="L72" s="182"/>
      <c r="M72" s="144">
        <f t="shared" si="55"/>
        <v>83500</v>
      </c>
      <c r="N72" s="144">
        <f>62600+62600</f>
        <v>125200</v>
      </c>
      <c r="O72" s="144"/>
      <c r="P72" s="144">
        <f t="shared" si="56"/>
        <v>208700</v>
      </c>
      <c r="Q72" s="287">
        <v>0</v>
      </c>
      <c r="R72" s="286">
        <v>0</v>
      </c>
      <c r="S72" s="148">
        <f>SUM(Q72:R72)</f>
        <v>0</v>
      </c>
      <c r="T72" s="149" t="str">
        <f>IF(ISERR(Q72/S72),"-",Q72/S72)</f>
        <v>-</v>
      </c>
      <c r="U72" s="224">
        <f t="shared" si="50"/>
        <v>-208700</v>
      </c>
      <c r="V72" s="150">
        <f t="shared" si="51"/>
        <v>208700</v>
      </c>
      <c r="W72" s="128">
        <f t="shared" si="53"/>
        <v>1</v>
      </c>
      <c r="X72" s="184"/>
      <c r="Y72" s="185"/>
      <c r="Z72" s="186">
        <f>'[1]2021-22'!C648</f>
        <v>0</v>
      </c>
      <c r="AA72" s="153">
        <f>O72-Z72</f>
        <v>0</v>
      </c>
      <c r="AB72" s="128" t="str">
        <f>IF(ISERR(AA72/Z72),"-",AA72/Z72)</f>
        <v>-</v>
      </c>
      <c r="AC72" s="185"/>
      <c r="AD72" s="186">
        <v>0</v>
      </c>
      <c r="AE72" s="153">
        <f>S72-AD72</f>
        <v>0</v>
      </c>
      <c r="AF72" s="128" t="str">
        <f>IF(ISERR(AE72/AD72),"-",AE72/AD72)</f>
        <v>-</v>
      </c>
      <c r="AH72" s="186">
        <v>100</v>
      </c>
      <c r="AI72" s="153">
        <f>S72-AH72</f>
        <v>-100</v>
      </c>
      <c r="AJ72" s="128">
        <f t="shared" ref="AJ72:AJ73" si="58">IF(ISERR(AI72/AH72),"-",AI72/AH72)</f>
        <v>-1</v>
      </c>
    </row>
    <row r="73" spans="1:36" ht="13.35" customHeight="1" collapsed="1" x14ac:dyDescent="0.3">
      <c r="A73" s="1" t="s">
        <v>134</v>
      </c>
      <c r="E73" s="258">
        <f>E65</f>
        <v>0</v>
      </c>
      <c r="F73" s="189">
        <f t="shared" ref="F73:G73" si="59">F65</f>
        <v>8.5</v>
      </c>
      <c r="G73" s="190">
        <f t="shared" si="59"/>
        <v>-8.5</v>
      </c>
      <c r="H73" s="193">
        <f>SUM(H64:H72)</f>
        <v>1414500</v>
      </c>
      <c r="I73" s="193">
        <f t="shared" ref="I73:S73" si="60">SUM(I64:I72)</f>
        <v>1509500</v>
      </c>
      <c r="J73" s="259">
        <f t="shared" si="60"/>
        <v>95000</v>
      </c>
      <c r="K73" s="193">
        <f t="shared" si="60"/>
        <v>531600</v>
      </c>
      <c r="L73" s="193">
        <f t="shared" si="60"/>
        <v>6000</v>
      </c>
      <c r="M73" s="193">
        <f t="shared" si="60"/>
        <v>537600</v>
      </c>
      <c r="N73" s="193">
        <f t="shared" si="60"/>
        <v>882900</v>
      </c>
      <c r="O73" s="193">
        <f t="shared" si="60"/>
        <v>95000</v>
      </c>
      <c r="P73" s="193">
        <f t="shared" si="60"/>
        <v>1515500</v>
      </c>
      <c r="Q73" s="195">
        <f t="shared" si="60"/>
        <v>752227.3400000002</v>
      </c>
      <c r="R73" s="193">
        <f t="shared" si="60"/>
        <v>477746.78999999986</v>
      </c>
      <c r="S73" s="193">
        <f t="shared" si="60"/>
        <v>1229974.1299999999</v>
      </c>
      <c r="T73" s="196">
        <f>IF(ISERR(Q73/S73),"-",Q73/S73)</f>
        <v>0.61157980615413454</v>
      </c>
      <c r="U73" s="260">
        <f>SUM(U64:U72)</f>
        <v>-279525.87</v>
      </c>
      <c r="V73" s="197">
        <f>SUM(V64:V72)</f>
        <v>285525.87</v>
      </c>
      <c r="W73" s="198">
        <f t="shared" si="53"/>
        <v>0.18840374133949192</v>
      </c>
      <c r="X73" s="199"/>
      <c r="Y73" s="185"/>
      <c r="Z73" s="200">
        <f>SUM(Z64:Z72)</f>
        <v>1840143.9500000002</v>
      </c>
      <c r="AA73" s="261">
        <f>SUM(AA64:AA72)</f>
        <v>-1009905.25</v>
      </c>
      <c r="AB73" s="198">
        <f>IF(ISERR(AA73/Z73),"-",AA73/Z73)</f>
        <v>-0.548818612804721</v>
      </c>
      <c r="AC73" s="185"/>
      <c r="AD73" s="200">
        <f>SUM(AD64:AD72)</f>
        <v>1248973.8399999999</v>
      </c>
      <c r="AE73" s="261">
        <f>SUM(AE64:AE72)</f>
        <v>-118999.70999999996</v>
      </c>
      <c r="AF73" s="198">
        <f>IF(ISERR(AE73/AD73),"-",AE73/AD73)</f>
        <v>-9.5277984365148893E-2</v>
      </c>
      <c r="AH73" s="200">
        <v>1066728.5999999999</v>
      </c>
      <c r="AI73" s="261">
        <f>SUM(AI64:AI72)</f>
        <v>63245.530000000028</v>
      </c>
      <c r="AJ73" s="198">
        <f t="shared" si="58"/>
        <v>5.9289241893392595E-2</v>
      </c>
    </row>
    <row r="74" spans="1:36" ht="13.35" customHeight="1" x14ac:dyDescent="0.3">
      <c r="A74" s="1"/>
      <c r="E74" s="202"/>
      <c r="F74" s="203"/>
      <c r="G74" s="204"/>
      <c r="H74" s="202"/>
      <c r="I74" s="205"/>
      <c r="J74" s="205"/>
      <c r="K74" s="205"/>
      <c r="L74" s="205"/>
      <c r="M74" s="205"/>
      <c r="N74" s="205"/>
      <c r="O74" s="205"/>
      <c r="P74" s="205"/>
      <c r="Q74" s="206"/>
      <c r="R74" s="205"/>
      <c r="S74" s="205"/>
      <c r="T74" s="205"/>
      <c r="U74" s="288"/>
      <c r="V74" s="208"/>
      <c r="W74" s="209"/>
      <c r="X74" s="210"/>
      <c r="Y74" s="211"/>
      <c r="Z74" s="109"/>
      <c r="AA74" s="114"/>
      <c r="AB74" s="115"/>
      <c r="AC74" s="211"/>
      <c r="AD74" s="109"/>
      <c r="AE74" s="114"/>
      <c r="AF74" s="115"/>
      <c r="AH74" s="109"/>
      <c r="AI74" s="114"/>
      <c r="AJ74" s="115"/>
    </row>
    <row r="75" spans="1:36" ht="13.35" customHeight="1" x14ac:dyDescent="0.3">
      <c r="A75" s="1"/>
      <c r="E75" s="202"/>
      <c r="F75" s="203"/>
      <c r="G75" s="204"/>
      <c r="H75" s="202"/>
      <c r="I75" s="205"/>
      <c r="J75" s="205"/>
      <c r="K75" s="205"/>
      <c r="L75" s="205"/>
      <c r="M75" s="205"/>
      <c r="N75" s="205"/>
      <c r="O75" s="205"/>
      <c r="P75" s="205"/>
      <c r="Q75" s="206"/>
      <c r="R75" s="205"/>
      <c r="S75" s="205"/>
      <c r="T75" s="205"/>
      <c r="U75" s="288"/>
      <c r="V75" s="208"/>
      <c r="W75" s="209"/>
      <c r="X75" s="210"/>
      <c r="Y75" s="211"/>
      <c r="Z75" s="109"/>
      <c r="AA75" s="114"/>
      <c r="AB75" s="115"/>
      <c r="AC75" s="211"/>
      <c r="AD75" s="109"/>
      <c r="AE75" s="114"/>
      <c r="AF75" s="115"/>
      <c r="AH75" s="109"/>
      <c r="AI75" s="114"/>
      <c r="AJ75" s="115"/>
    </row>
    <row r="76" spans="1:36" ht="13.35" hidden="1" customHeight="1" outlineLevel="1" x14ac:dyDescent="0.3">
      <c r="A76" s="116" t="s">
        <v>135</v>
      </c>
      <c r="B76" s="12"/>
      <c r="E76" s="202"/>
      <c r="F76" s="203"/>
      <c r="G76" s="204"/>
      <c r="H76" s="202"/>
      <c r="I76" s="182"/>
      <c r="J76" s="182"/>
      <c r="K76" s="182"/>
      <c r="L76" s="182"/>
      <c r="M76" s="182"/>
      <c r="N76" s="182"/>
      <c r="O76" s="182"/>
      <c r="P76" s="182"/>
      <c r="Q76" s="183"/>
      <c r="R76" s="182"/>
      <c r="S76" s="182"/>
      <c r="T76" s="182"/>
      <c r="U76" s="264"/>
      <c r="V76" s="263"/>
      <c r="W76" s="209"/>
      <c r="X76" s="210"/>
      <c r="Y76" s="211"/>
      <c r="Z76" s="109"/>
      <c r="AA76" s="114"/>
      <c r="AB76" s="115"/>
      <c r="AC76" s="211"/>
      <c r="AD76" s="109"/>
      <c r="AE76" s="114"/>
      <c r="AF76" s="115"/>
      <c r="AH76" s="109"/>
      <c r="AI76" s="114"/>
      <c r="AJ76" s="115"/>
    </row>
    <row r="77" spans="1:36" ht="13.35" hidden="1" customHeight="1" outlineLevel="1" x14ac:dyDescent="0.3">
      <c r="A77" s="64" t="s">
        <v>136</v>
      </c>
      <c r="B77" s="13" t="s">
        <v>137</v>
      </c>
      <c r="D77" s="118" t="s">
        <v>49</v>
      </c>
      <c r="E77" s="119"/>
      <c r="F77" s="179">
        <v>0</v>
      </c>
      <c r="G77" s="121"/>
      <c r="H77" s="265"/>
      <c r="I77" s="123"/>
      <c r="J77" s="134">
        <f>I77-H77</f>
        <v>0</v>
      </c>
      <c r="K77" s="271"/>
      <c r="L77" s="271"/>
      <c r="M77" s="123">
        <f>K77+L77</f>
        <v>0</v>
      </c>
      <c r="N77" s="123"/>
      <c r="O77" s="123"/>
      <c r="P77" s="123">
        <f>M77+N77+O77</f>
        <v>0</v>
      </c>
      <c r="Q77" s="274">
        <v>132748.07999999999</v>
      </c>
      <c r="R77" s="285">
        <f>P77-Q77</f>
        <v>-132748.07999999999</v>
      </c>
      <c r="S77" s="275">
        <f>SUM(Q77:R77)</f>
        <v>0</v>
      </c>
      <c r="T77" s="149" t="str">
        <f>IF(ISERR(Q77/S77),"-",Q77/S77)</f>
        <v>-</v>
      </c>
      <c r="U77" s="224">
        <f>S77-I77</f>
        <v>0</v>
      </c>
      <c r="V77" s="208">
        <f t="shared" ref="V77:V79" si="61">P77-S77</f>
        <v>0</v>
      </c>
      <c r="W77" s="256" t="str">
        <f>IF(ISERR(V77/P77),"-",V77/P77)</f>
        <v>-</v>
      </c>
      <c r="X77" s="184"/>
      <c r="Y77" s="185"/>
      <c r="Z77" s="131">
        <f>'[1]2021-22'!C333</f>
        <v>0</v>
      </c>
      <c r="AA77" s="255">
        <f>O77-Z77</f>
        <v>0</v>
      </c>
      <c r="AB77" s="256" t="str">
        <f>IF(ISERR(AA77/Z77),"-",AA77/Z77)</f>
        <v>-</v>
      </c>
      <c r="AC77" s="185"/>
      <c r="AD77" s="131">
        <v>0</v>
      </c>
      <c r="AE77" s="255">
        <f>S77-AD77</f>
        <v>0</v>
      </c>
      <c r="AF77" s="256" t="str">
        <f>IF(ISERR(AE77/AD77),"-",AE77/AD77)</f>
        <v>-</v>
      </c>
      <c r="AH77" s="131">
        <v>0</v>
      </c>
      <c r="AI77" s="255">
        <f>S77-AH77</f>
        <v>0</v>
      </c>
      <c r="AJ77" s="256" t="str">
        <f t="shared" ref="AJ77:AJ79" si="62">IF(ISERR(AI77/AH77),"-",AI77/AH77)</f>
        <v>-</v>
      </c>
    </row>
    <row r="78" spans="1:36" ht="13.35" hidden="1" customHeight="1" outlineLevel="1" x14ac:dyDescent="0.3">
      <c r="A78" s="64"/>
      <c r="D78" s="118" t="s">
        <v>50</v>
      </c>
      <c r="E78" s="119"/>
      <c r="F78" s="179">
        <f>F77</f>
        <v>0</v>
      </c>
      <c r="G78" s="121"/>
      <c r="H78" s="265"/>
      <c r="I78" s="123"/>
      <c r="J78" s="134"/>
      <c r="K78" s="271"/>
      <c r="L78" s="271"/>
      <c r="M78" s="123"/>
      <c r="N78" s="123"/>
      <c r="O78" s="123"/>
      <c r="P78" s="123"/>
      <c r="Q78" s="274"/>
      <c r="R78" s="285"/>
      <c r="S78" s="275"/>
      <c r="T78" s="149"/>
      <c r="U78" s="224"/>
      <c r="V78" s="208"/>
      <c r="W78" s="256"/>
      <c r="X78" s="184"/>
      <c r="Y78" s="185"/>
      <c r="Z78" s="137"/>
      <c r="AA78" s="255"/>
      <c r="AB78" s="256"/>
      <c r="AC78" s="185"/>
      <c r="AD78" s="137"/>
      <c r="AE78" s="255"/>
      <c r="AF78" s="256"/>
      <c r="AH78" s="137"/>
      <c r="AI78" s="255"/>
      <c r="AJ78" s="256"/>
    </row>
    <row r="79" spans="1:36" ht="13.35" hidden="1" customHeight="1" outlineLevel="1" x14ac:dyDescent="0.3">
      <c r="A79" s="64" t="s">
        <v>138</v>
      </c>
      <c r="B79" s="13" t="s">
        <v>70</v>
      </c>
      <c r="E79" s="202"/>
      <c r="F79" s="203"/>
      <c r="G79" s="204"/>
      <c r="H79" s="186">
        <v>396700</v>
      </c>
      <c r="I79" s="144">
        <v>396700</v>
      </c>
      <c r="J79" s="145">
        <f>I79-H79</f>
        <v>0</v>
      </c>
      <c r="K79" s="272">
        <f>125800+84100</f>
        <v>209900</v>
      </c>
      <c r="L79" s="272"/>
      <c r="M79" s="135">
        <f>K79+L79</f>
        <v>209900</v>
      </c>
      <c r="N79" s="135">
        <f>52700+134100</f>
        <v>186800</v>
      </c>
      <c r="O79" s="135">
        <v>15700</v>
      </c>
      <c r="P79" s="135">
        <f>M79+N79+O79</f>
        <v>412400</v>
      </c>
      <c r="Q79" s="284">
        <v>53616.45</v>
      </c>
      <c r="R79" s="285">
        <f>P79-Q79</f>
        <v>358783.55</v>
      </c>
      <c r="S79" s="148">
        <f>SUM(Q79:R79)</f>
        <v>412400</v>
      </c>
      <c r="T79" s="149">
        <f>IF(ISERR(Q79/S79),"-",Q79/S79)</f>
        <v>0.13001079049466538</v>
      </c>
      <c r="U79" s="224">
        <f>S79-I79</f>
        <v>15700</v>
      </c>
      <c r="V79" s="150">
        <f t="shared" si="61"/>
        <v>0</v>
      </c>
      <c r="W79" s="256">
        <f>IF(ISERR(V79/P79),"-",V79/P79)</f>
        <v>0</v>
      </c>
      <c r="X79" s="184"/>
      <c r="Y79" s="185"/>
      <c r="Z79" s="186">
        <f>SUM('[1]2021-22'!C334:C348)+'[1]2021-22'!C366</f>
        <v>1336892.6100000001</v>
      </c>
      <c r="AA79" s="255">
        <f>O79-Z79</f>
        <v>-1321192.6100000001</v>
      </c>
      <c r="AB79" s="256">
        <f>IF(ISERR(AA79/Z79),"-",AA79/Z79)</f>
        <v>-0.98825634917676741</v>
      </c>
      <c r="AC79" s="185"/>
      <c r="AD79" s="186">
        <v>336287.73</v>
      </c>
      <c r="AE79" s="255">
        <f>S79-AD79</f>
        <v>76112.270000000019</v>
      </c>
      <c r="AF79" s="256">
        <f>IF(ISERR(AE79/AD79),"-",AE79/AD79)</f>
        <v>0.22633079714207838</v>
      </c>
      <c r="AH79" s="186">
        <v>379643.77</v>
      </c>
      <c r="AI79" s="255">
        <f>S79-AH79</f>
        <v>32756.229999999981</v>
      </c>
      <c r="AJ79" s="256">
        <f t="shared" si="62"/>
        <v>8.6281489618544191E-2</v>
      </c>
    </row>
    <row r="80" spans="1:36" ht="13.35" customHeight="1" collapsed="1" x14ac:dyDescent="0.3">
      <c r="A80" s="1" t="s">
        <v>139</v>
      </c>
      <c r="E80" s="258">
        <f t="shared" ref="E80:G80" si="63">SUM(E77:E79)</f>
        <v>0</v>
      </c>
      <c r="F80" s="189">
        <f t="shared" si="63"/>
        <v>0</v>
      </c>
      <c r="G80" s="190">
        <f t="shared" si="63"/>
        <v>0</v>
      </c>
      <c r="H80" s="193">
        <f>SUM(H77:H79)</f>
        <v>396700</v>
      </c>
      <c r="I80" s="193">
        <f t="shared" ref="I80:S80" si="64">SUM(I77:I79)</f>
        <v>396700</v>
      </c>
      <c r="J80" s="259">
        <f t="shared" si="64"/>
        <v>0</v>
      </c>
      <c r="K80" s="193">
        <f t="shared" si="64"/>
        <v>209900</v>
      </c>
      <c r="L80" s="193">
        <f t="shared" si="64"/>
        <v>0</v>
      </c>
      <c r="M80" s="193">
        <f t="shared" si="64"/>
        <v>209900</v>
      </c>
      <c r="N80" s="193">
        <f t="shared" si="64"/>
        <v>186800</v>
      </c>
      <c r="O80" s="193">
        <f t="shared" si="64"/>
        <v>15700</v>
      </c>
      <c r="P80" s="193">
        <f t="shared" si="64"/>
        <v>412400</v>
      </c>
      <c r="Q80" s="195">
        <f t="shared" si="64"/>
        <v>186364.52999999997</v>
      </c>
      <c r="R80" s="289">
        <f t="shared" si="64"/>
        <v>226035.47</v>
      </c>
      <c r="S80" s="193">
        <f t="shared" si="64"/>
        <v>412400</v>
      </c>
      <c r="T80" s="196">
        <f>IF(ISERR(Q80/S80),"-",Q80/S80)</f>
        <v>0.45190235208535395</v>
      </c>
      <c r="U80" s="260">
        <f>SUM(U77:U79)</f>
        <v>15700</v>
      </c>
      <c r="V80" s="197">
        <f>SUM(V77:V79)</f>
        <v>0</v>
      </c>
      <c r="W80" s="198">
        <f>IF(ISERR(V80/P80),"-",V80/P80)</f>
        <v>0</v>
      </c>
      <c r="X80" s="199"/>
      <c r="Y80" s="185"/>
      <c r="Z80" s="200">
        <f>SUM(Z77:Z79)</f>
        <v>1336892.6100000001</v>
      </c>
      <c r="AA80" s="261">
        <f>SUM(AA77:AA79)</f>
        <v>-1321192.6100000001</v>
      </c>
      <c r="AB80" s="198">
        <f>IF(ISERR(AA80/Z80),"-",AA80/Z80)</f>
        <v>-0.98825634917676741</v>
      </c>
      <c r="AC80" s="185"/>
      <c r="AD80" s="200">
        <f>SUM(AD77:AD79)</f>
        <v>336287.73</v>
      </c>
      <c r="AE80" s="261">
        <f>SUM(AE77:AE79)</f>
        <v>76112.270000000019</v>
      </c>
      <c r="AF80" s="198">
        <f>IF(ISERR(AE80/AD80),"-",AE80/AD80)</f>
        <v>0.22633079714207838</v>
      </c>
      <c r="AH80" s="200">
        <v>379643.77</v>
      </c>
      <c r="AI80" s="261">
        <f>SUM(AI77:AI79)</f>
        <v>32756.229999999981</v>
      </c>
      <c r="AJ80" s="198">
        <f>IF(ISERR(AI80/AH80),"-",AI80/AH80)</f>
        <v>8.6281489618544191E-2</v>
      </c>
    </row>
    <row r="81" spans="1:36" ht="13.35" customHeight="1" x14ac:dyDescent="0.3">
      <c r="A81" s="1"/>
      <c r="E81" s="202"/>
      <c r="F81" s="203"/>
      <c r="G81" s="204"/>
      <c r="H81" s="202"/>
      <c r="I81" s="182"/>
      <c r="J81" s="182"/>
      <c r="K81" s="182"/>
      <c r="L81" s="182"/>
      <c r="M81" s="182"/>
      <c r="N81" s="182"/>
      <c r="O81" s="182"/>
      <c r="P81" s="182"/>
      <c r="Q81" s="183"/>
      <c r="R81" s="182"/>
      <c r="S81" s="182"/>
      <c r="T81" s="182"/>
      <c r="U81" s="264"/>
      <c r="V81" s="263"/>
      <c r="W81" s="209"/>
      <c r="X81" s="210"/>
      <c r="Y81" s="211"/>
      <c r="Z81" s="109"/>
      <c r="AA81" s="114"/>
      <c r="AB81" s="115"/>
      <c r="AC81" s="211"/>
      <c r="AD81" s="109"/>
      <c r="AE81" s="114"/>
      <c r="AF81" s="115"/>
      <c r="AH81" s="109"/>
      <c r="AI81" s="114"/>
      <c r="AJ81" s="115"/>
    </row>
    <row r="82" spans="1:36" ht="13.35" customHeight="1" x14ac:dyDescent="0.3">
      <c r="A82" s="12"/>
      <c r="B82" s="12"/>
      <c r="E82" s="202"/>
      <c r="F82" s="203"/>
      <c r="G82" s="204"/>
      <c r="H82" s="202"/>
      <c r="I82" s="220"/>
      <c r="J82" s="220"/>
      <c r="K82" s="220"/>
      <c r="L82" s="220"/>
      <c r="M82" s="220"/>
      <c r="N82" s="220"/>
      <c r="O82" s="220"/>
      <c r="P82" s="220"/>
      <c r="Q82" s="221"/>
      <c r="R82" s="220"/>
      <c r="S82" s="220"/>
      <c r="T82" s="220"/>
      <c r="U82" s="222"/>
      <c r="V82" s="217"/>
      <c r="W82" s="218"/>
      <c r="X82" s="184"/>
      <c r="Y82" s="185"/>
      <c r="Z82" s="109"/>
      <c r="AA82" s="114"/>
      <c r="AB82" s="115"/>
      <c r="AC82" s="185"/>
      <c r="AD82" s="109"/>
      <c r="AE82" s="114"/>
      <c r="AF82" s="115"/>
      <c r="AH82" s="109"/>
      <c r="AI82" s="114"/>
      <c r="AJ82" s="115"/>
    </row>
    <row r="83" spans="1:36" ht="13.35" hidden="1" customHeight="1" outlineLevel="1" x14ac:dyDescent="0.3">
      <c r="A83" s="116" t="s">
        <v>140</v>
      </c>
      <c r="B83" s="12"/>
      <c r="E83" s="202"/>
      <c r="F83" s="203"/>
      <c r="G83" s="204"/>
      <c r="H83" s="202"/>
      <c r="I83" s="220"/>
      <c r="J83" s="220"/>
      <c r="K83" s="220"/>
      <c r="L83" s="220"/>
      <c r="M83" s="220"/>
      <c r="N83" s="220"/>
      <c r="O83" s="220"/>
      <c r="P83" s="220"/>
      <c r="Q83" s="221"/>
      <c r="R83" s="220"/>
      <c r="S83" s="220"/>
      <c r="T83" s="220"/>
      <c r="U83" s="222"/>
      <c r="V83" s="217"/>
      <c r="W83" s="218"/>
      <c r="X83" s="184"/>
      <c r="Y83" s="185"/>
      <c r="Z83" s="109"/>
      <c r="AA83" s="114"/>
      <c r="AB83" s="115"/>
      <c r="AC83" s="185"/>
      <c r="AD83" s="109"/>
      <c r="AE83" s="114"/>
      <c r="AF83" s="115"/>
      <c r="AH83" s="109"/>
      <c r="AI83" s="114"/>
      <c r="AJ83" s="115"/>
    </row>
    <row r="84" spans="1:36" s="170" customFormat="1" ht="13.35" hidden="1" customHeight="1" outlineLevel="1" x14ac:dyDescent="0.25">
      <c r="A84" s="117" t="s">
        <v>141</v>
      </c>
      <c r="B84" s="117" t="s">
        <v>142</v>
      </c>
      <c r="D84" s="118" t="s">
        <v>49</v>
      </c>
      <c r="E84" s="119"/>
      <c r="F84" s="172">
        <f>181.85+5+1</f>
        <v>187.85</v>
      </c>
      <c r="G84" s="121">
        <f t="shared" ref="G84:G85" si="65">E84-F84</f>
        <v>-187.85</v>
      </c>
      <c r="H84" s="265">
        <f>6904100+1870400</f>
        <v>8774500</v>
      </c>
      <c r="I84" s="123">
        <f>8774500+8000</f>
        <v>8782500</v>
      </c>
      <c r="J84" s="134">
        <f>I84-H84</f>
        <v>8000</v>
      </c>
      <c r="K84" s="290">
        <f>1719000+465800+1745400+473000</f>
        <v>4403200</v>
      </c>
      <c r="L84" s="290">
        <v>1700</v>
      </c>
      <c r="M84" s="123">
        <f>K84+L84</f>
        <v>4404900</v>
      </c>
      <c r="N84" s="123">
        <f>1719000+1719000+465800+465800</f>
        <v>4369600</v>
      </c>
      <c r="O84" s="291">
        <v>1493812</v>
      </c>
      <c r="P84" s="123">
        <f>M84+N84+O84</f>
        <v>10268312</v>
      </c>
      <c r="Q84" s="292">
        <v>5808543.7199999997</v>
      </c>
      <c r="R84" s="293">
        <f>[1]Facilities!I18-'[1]Operating Results'!Q84</f>
        <v>4571326.1399999997</v>
      </c>
      <c r="S84" s="293">
        <f>SUM(Q84:R84)</f>
        <v>10379869.859999999</v>
      </c>
      <c r="T84" s="126">
        <f t="shared" ref="T84:T112" si="66">IF(ISERR(Q84/S84),"-",Q84/S84)</f>
        <v>0.55959696974466688</v>
      </c>
      <c r="U84" s="224">
        <f t="shared" ref="U84:U112" si="67">S84-I84</f>
        <v>1597369.8599999994</v>
      </c>
      <c r="V84" s="294">
        <f t="shared" ref="V84:V112" si="68">P84-S84</f>
        <v>-111557.8599999994</v>
      </c>
      <c r="W84" s="128">
        <f>IF(ISERR(V84/P84),"-",V84/P84)</f>
        <v>-1.0864284217308492E-2</v>
      </c>
      <c r="X84" s="175"/>
      <c r="Y84" s="176"/>
      <c r="Z84" s="131">
        <f>'[1]2021-22'!C651</f>
        <v>6453108.25</v>
      </c>
      <c r="AA84" s="295">
        <f>O84-Z84</f>
        <v>-4959296.25</v>
      </c>
      <c r="AB84" s="128">
        <f>IF(ISERR(AA84/Z84),"-",AA84/Z84)</f>
        <v>-0.76851279381529047</v>
      </c>
      <c r="AC84" s="176"/>
      <c r="AD84" s="131">
        <v>7429022.5599999996</v>
      </c>
      <c r="AE84" s="295">
        <f>S84-AD84</f>
        <v>2950847.3</v>
      </c>
      <c r="AF84" s="128">
        <f>IF(ISERR(AE84/AD84),"-",AE84/AD84)</f>
        <v>0.3972053222570911</v>
      </c>
      <c r="AH84" s="131">
        <v>7469774.3499999996</v>
      </c>
      <c r="AI84" s="295">
        <f>S84-AH84</f>
        <v>2910095.51</v>
      </c>
      <c r="AJ84" s="128">
        <f>IF(ISERR(AI84/AH84),"-",AI84/AH84)</f>
        <v>0.38958278706236954</v>
      </c>
    </row>
    <row r="85" spans="1:36" s="170" customFormat="1" ht="13.35" hidden="1" customHeight="1" outlineLevel="1" x14ac:dyDescent="0.25">
      <c r="A85" s="117"/>
      <c r="B85" s="117"/>
      <c r="D85" s="118" t="s">
        <v>50</v>
      </c>
      <c r="E85" s="119"/>
      <c r="F85" s="172">
        <f>F84+0.06</f>
        <v>187.91</v>
      </c>
      <c r="G85" s="121">
        <f t="shared" si="65"/>
        <v>-187.91</v>
      </c>
      <c r="H85" s="265"/>
      <c r="I85" s="123"/>
      <c r="J85" s="134"/>
      <c r="K85" s="290"/>
      <c r="L85" s="290"/>
      <c r="M85" s="123"/>
      <c r="N85" s="123"/>
      <c r="O85" s="123"/>
      <c r="P85" s="135"/>
      <c r="Q85" s="292"/>
      <c r="R85" s="293"/>
      <c r="S85" s="293"/>
      <c r="T85" s="126"/>
      <c r="U85" s="224"/>
      <c r="V85" s="294"/>
      <c r="W85" s="128"/>
      <c r="X85" s="175"/>
      <c r="Y85" s="176"/>
      <c r="Z85" s="137"/>
      <c r="AA85" s="295"/>
      <c r="AB85" s="128"/>
      <c r="AC85" s="176"/>
      <c r="AD85" s="137"/>
      <c r="AE85" s="295"/>
      <c r="AF85" s="128"/>
      <c r="AH85" s="137"/>
      <c r="AI85" s="295"/>
      <c r="AJ85" s="128"/>
    </row>
    <row r="86" spans="1:36" s="170" customFormat="1" ht="13.35" hidden="1" customHeight="1" outlineLevel="1" x14ac:dyDescent="0.3">
      <c r="A86" s="117" t="s">
        <v>143</v>
      </c>
      <c r="B86" s="117" t="s">
        <v>144</v>
      </c>
      <c r="D86" s="118"/>
      <c r="E86" s="171"/>
      <c r="F86" s="172"/>
      <c r="G86" s="296"/>
      <c r="H86" s="143"/>
      <c r="I86" s="144"/>
      <c r="J86" s="145">
        <f>I86-H86</f>
        <v>0</v>
      </c>
      <c r="K86" s="290"/>
      <c r="L86" s="290"/>
      <c r="M86" s="135">
        <f>K86+L86</f>
        <v>0</v>
      </c>
      <c r="N86" s="135"/>
      <c r="O86" s="135">
        <f>8000+42000</f>
        <v>50000</v>
      </c>
      <c r="P86" s="135">
        <f>M86+N86+O86</f>
        <v>50000</v>
      </c>
      <c r="Q86" s="221">
        <v>12129.23</v>
      </c>
      <c r="R86" s="293">
        <f>[1]Facilities!I63-'[1]Operating Results'!Q86</f>
        <v>40370.06</v>
      </c>
      <c r="S86" s="144">
        <f>SUM(Q86:R86)</f>
        <v>52499.289999999994</v>
      </c>
      <c r="T86" s="126">
        <f t="shared" ref="T86:T90" si="69">IF(ISERR(Q86/S86),"-",Q86/S86)</f>
        <v>0.23103607686884911</v>
      </c>
      <c r="U86" s="224">
        <f t="shared" si="67"/>
        <v>52499.289999999994</v>
      </c>
      <c r="V86" s="225">
        <f t="shared" si="68"/>
        <v>-2499.2899999999936</v>
      </c>
      <c r="W86" s="128">
        <f>IF(ISERR(V86/P86),"-",V86/P86)</f>
        <v>-4.9985799999999872E-2</v>
      </c>
      <c r="X86" s="175"/>
      <c r="Y86" s="176"/>
      <c r="Z86" s="186">
        <f>'[1]2021-22'!C652</f>
        <v>76294.759999999995</v>
      </c>
      <c r="AA86" s="153">
        <f>O86-Z86</f>
        <v>-26294.759999999995</v>
      </c>
      <c r="AB86" s="128">
        <f>IF(ISERR(AA86/Z86),"-",AA86/Z86)</f>
        <v>-0.34464699803761095</v>
      </c>
      <c r="AC86" s="176"/>
      <c r="AD86" s="186">
        <v>61599.55</v>
      </c>
      <c r="AE86" s="153">
        <f>S86-AD86</f>
        <v>-9100.2600000000093</v>
      </c>
      <c r="AF86" s="128">
        <f>IF(ISERR(AE86/AD86),"-",AE86/AD86)</f>
        <v>-0.14773257272171644</v>
      </c>
      <c r="AH86" s="186">
        <v>36954.75</v>
      </c>
      <c r="AI86" s="153">
        <f>S86-AH86</f>
        <v>15544.539999999994</v>
      </c>
      <c r="AJ86" s="128">
        <f>IF(ISERR(AI86/AH86),"-",AI86/AH86)</f>
        <v>0.42063713054478769</v>
      </c>
    </row>
    <row r="87" spans="1:36" s="170" customFormat="1" ht="13.35" hidden="1" customHeight="1" outlineLevel="1" x14ac:dyDescent="0.3">
      <c r="A87" s="117" t="s">
        <v>145</v>
      </c>
      <c r="B87" s="117" t="s">
        <v>146</v>
      </c>
      <c r="D87" s="118"/>
      <c r="E87" s="171"/>
      <c r="F87" s="172"/>
      <c r="G87" s="296"/>
      <c r="H87" s="143">
        <v>42000</v>
      </c>
      <c r="I87" s="144">
        <v>42000</v>
      </c>
      <c r="J87" s="145">
        <f>I87-H87</f>
        <v>0</v>
      </c>
      <c r="K87" s="290">
        <f>10500+10500</f>
        <v>21000</v>
      </c>
      <c r="L87" s="290"/>
      <c r="M87" s="135">
        <f>K87+L87</f>
        <v>21000</v>
      </c>
      <c r="N87" s="135">
        <f>10500+10500</f>
        <v>21000</v>
      </c>
      <c r="O87" s="135">
        <v>-42000</v>
      </c>
      <c r="P87" s="135">
        <f>M87+N87+O87</f>
        <v>0</v>
      </c>
      <c r="Q87" s="221"/>
      <c r="R87" s="293"/>
      <c r="S87" s="144">
        <f>SUM(Q87:R87)</f>
        <v>0</v>
      </c>
      <c r="T87" s="126" t="str">
        <f t="shared" si="69"/>
        <v>-</v>
      </c>
      <c r="U87" s="224">
        <f t="shared" si="67"/>
        <v>-42000</v>
      </c>
      <c r="V87" s="225">
        <f t="shared" si="68"/>
        <v>0</v>
      </c>
      <c r="W87" s="128" t="str">
        <f>IF(ISERR(V87/P87),"-",V87/P87)</f>
        <v>-</v>
      </c>
      <c r="X87" s="175"/>
      <c r="Y87" s="176"/>
      <c r="Z87" s="186">
        <f>'[1]2021-22'!C653</f>
        <v>0</v>
      </c>
      <c r="AA87" s="153">
        <f>O87-Z87</f>
        <v>-42000</v>
      </c>
      <c r="AB87" s="128" t="str">
        <f>IF(ISERR(AA87/Z87),"-",AA87/Z87)</f>
        <v>-</v>
      </c>
      <c r="AC87" s="176"/>
      <c r="AD87" s="186"/>
      <c r="AE87" s="153">
        <f>S87-AD87</f>
        <v>0</v>
      </c>
      <c r="AF87" s="128" t="str">
        <f>IF(ISERR(AE87/AD87),"-",AE87/AD87)</f>
        <v>-</v>
      </c>
      <c r="AH87" s="186"/>
      <c r="AI87" s="153">
        <f>S87-AH87</f>
        <v>0</v>
      </c>
      <c r="AJ87" s="128" t="str">
        <f>IF(ISERR(AI87/AH87),"-",AI87/AH87)</f>
        <v>-</v>
      </c>
    </row>
    <row r="88" spans="1:36" s="170" customFormat="1" ht="13.35" hidden="1" customHeight="1" outlineLevel="1" x14ac:dyDescent="0.3">
      <c r="A88" s="117" t="s">
        <v>147</v>
      </c>
      <c r="B88" s="117" t="s">
        <v>148</v>
      </c>
      <c r="D88" s="118"/>
      <c r="E88" s="171"/>
      <c r="F88" s="172"/>
      <c r="G88" s="296"/>
      <c r="H88" s="143"/>
      <c r="I88" s="144"/>
      <c r="J88" s="145">
        <f t="shared" ref="J88:J112" si="70">I88-H88</f>
        <v>0</v>
      </c>
      <c r="K88" s="290"/>
      <c r="L88" s="290"/>
      <c r="M88" s="135">
        <f t="shared" ref="M88:M112" si="71">K88+L88</f>
        <v>0</v>
      </c>
      <c r="N88" s="135"/>
      <c r="O88" s="135"/>
      <c r="P88" s="135">
        <f t="shared" ref="P88:P112" si="72">M88+N88+O88</f>
        <v>0</v>
      </c>
      <c r="Q88" s="221">
        <v>3715.7</v>
      </c>
      <c r="R88" s="293">
        <f>[1]Facilities!I123-'[1]Operating Results'!Q88</f>
        <v>1079.8300000000008</v>
      </c>
      <c r="S88" s="144">
        <f t="shared" ref="S88:S89" si="73">SUM(Q88:R88)</f>
        <v>4795.5300000000007</v>
      </c>
      <c r="T88" s="126">
        <f t="shared" si="69"/>
        <v>0.77482572312132325</v>
      </c>
      <c r="U88" s="224">
        <f t="shared" si="67"/>
        <v>4795.5300000000007</v>
      </c>
      <c r="V88" s="225">
        <f t="shared" si="68"/>
        <v>-4795.5300000000007</v>
      </c>
      <c r="W88" s="128" t="str">
        <f>IF(ISERR(V88/P88),"-",V88/P88)</f>
        <v>-</v>
      </c>
      <c r="X88" s="175"/>
      <c r="Y88" s="176"/>
      <c r="Z88" s="186">
        <f>'[1]2021-22'!C654</f>
        <v>7821.02</v>
      </c>
      <c r="AA88" s="153">
        <f>O88-Z88</f>
        <v>-7821.02</v>
      </c>
      <c r="AB88" s="128">
        <f>IF(ISERR(AA88/Z88),"-",AA88/Z88)</f>
        <v>-1</v>
      </c>
      <c r="AC88" s="176"/>
      <c r="AD88" s="186">
        <v>8137.58</v>
      </c>
      <c r="AE88" s="153">
        <f>S88-AD88</f>
        <v>-3342.0499999999993</v>
      </c>
      <c r="AF88" s="128">
        <f>IF(ISERR(AE88/AD88),"-",AE88/AD88)</f>
        <v>-0.41069335109455135</v>
      </c>
      <c r="AH88" s="186">
        <v>6629.1</v>
      </c>
      <c r="AI88" s="153">
        <f>S88-AH88</f>
        <v>-1833.5699999999997</v>
      </c>
      <c r="AJ88" s="128">
        <f t="shared" ref="AJ88:AJ89" si="74">IF(ISERR(AI88/AH88),"-",AI88/AH88)</f>
        <v>-0.27659410779743848</v>
      </c>
    </row>
    <row r="89" spans="1:36" s="170" customFormat="1" ht="13.35" hidden="1" customHeight="1" outlineLevel="1" x14ac:dyDescent="0.3">
      <c r="A89" s="117" t="s">
        <v>149</v>
      </c>
      <c r="B89" s="117" t="s">
        <v>150</v>
      </c>
      <c r="E89" s="171"/>
      <c r="F89" s="172"/>
      <c r="G89" s="173"/>
      <c r="H89" s="143">
        <f>281500+77500</f>
        <v>359000</v>
      </c>
      <c r="I89" s="144">
        <v>359000</v>
      </c>
      <c r="J89" s="145">
        <f t="shared" si="70"/>
        <v>0</v>
      </c>
      <c r="K89" s="297">
        <f>70700+95200</f>
        <v>165900</v>
      </c>
      <c r="L89" s="297"/>
      <c r="M89" s="135">
        <f t="shared" si="71"/>
        <v>165900</v>
      </c>
      <c r="N89" s="135">
        <f>100900+92200</f>
        <v>193100</v>
      </c>
      <c r="O89" s="298">
        <v>115850.9</v>
      </c>
      <c r="P89" s="135">
        <f t="shared" si="72"/>
        <v>474850.9</v>
      </c>
      <c r="Q89" s="299">
        <v>603950.84</v>
      </c>
      <c r="R89" s="300">
        <f>[1]Facilities!I143-'[1]Operating Results'!Q89</f>
        <v>718706.9</v>
      </c>
      <c r="S89" s="144">
        <f t="shared" si="73"/>
        <v>1322657.74</v>
      </c>
      <c r="T89" s="126">
        <f t="shared" si="69"/>
        <v>0.45661914018663663</v>
      </c>
      <c r="U89" s="224">
        <f t="shared" si="67"/>
        <v>963657.74</v>
      </c>
      <c r="V89" s="225">
        <f t="shared" si="68"/>
        <v>-847806.84</v>
      </c>
      <c r="W89" s="128">
        <f>IF(ISERR(V89/P89),"-",V89/P89)</f>
        <v>-1.7854169382431411</v>
      </c>
      <c r="X89" s="175"/>
      <c r="Y89" s="176"/>
      <c r="Z89" s="186">
        <f>'[1]2021-22'!C656</f>
        <v>1083809.1100000001</v>
      </c>
      <c r="AA89" s="153">
        <f>O89-Z89</f>
        <v>-967958.21000000008</v>
      </c>
      <c r="AB89" s="128">
        <f>IF(ISERR(AA89/Z89),"-",AA89/Z89)</f>
        <v>-0.89310765250902902</v>
      </c>
      <c r="AC89" s="176"/>
      <c r="AD89" s="186">
        <v>614362.74</v>
      </c>
      <c r="AE89" s="153">
        <f>S89-AD89</f>
        <v>708295</v>
      </c>
      <c r="AF89" s="128">
        <f>IF(ISERR(AE89/AD89),"-",AE89/AD89)</f>
        <v>1.152893809933851</v>
      </c>
      <c r="AH89" s="186">
        <v>667022.53</v>
      </c>
      <c r="AI89" s="153">
        <f>S89-AH89</f>
        <v>655635.21</v>
      </c>
      <c r="AJ89" s="128">
        <f t="shared" si="74"/>
        <v>0.98292813287731062</v>
      </c>
    </row>
    <row r="90" spans="1:36" s="170" customFormat="1" ht="13.35" hidden="1" customHeight="1" outlineLevel="1" x14ac:dyDescent="0.3">
      <c r="A90" s="154" t="s">
        <v>149</v>
      </c>
      <c r="B90" s="154" t="s">
        <v>151</v>
      </c>
      <c r="C90" s="155"/>
      <c r="D90" s="155"/>
      <c r="E90" s="156"/>
      <c r="F90" s="157"/>
      <c r="G90" s="158"/>
      <c r="H90" s="159"/>
      <c r="I90" s="160"/>
      <c r="J90" s="161">
        <f t="shared" si="70"/>
        <v>0</v>
      </c>
      <c r="K90" s="301"/>
      <c r="L90" s="301"/>
      <c r="M90" s="163">
        <f t="shared" si="71"/>
        <v>0</v>
      </c>
      <c r="N90" s="163"/>
      <c r="O90" s="163"/>
      <c r="P90" s="163">
        <f t="shared" si="72"/>
        <v>0</v>
      </c>
      <c r="Q90" s="302"/>
      <c r="R90" s="303"/>
      <c r="S90" s="160">
        <f t="shared" ref="S90" si="75">SUM(Q90:R90)</f>
        <v>0</v>
      </c>
      <c r="T90" s="234" t="str">
        <f t="shared" si="69"/>
        <v>-</v>
      </c>
      <c r="U90" s="235">
        <f t="shared" si="67"/>
        <v>0</v>
      </c>
      <c r="V90" s="236">
        <f t="shared" si="68"/>
        <v>0</v>
      </c>
      <c r="W90" s="169" t="str">
        <f>IF(ISERR(V90/P90),"-",V90/P90)</f>
        <v>-</v>
      </c>
      <c r="X90" s="175"/>
      <c r="Y90" s="176"/>
      <c r="Z90" s="186"/>
      <c r="AA90" s="153"/>
      <c r="AB90" s="128"/>
      <c r="AC90" s="176"/>
      <c r="AD90" s="186"/>
      <c r="AE90" s="153"/>
      <c r="AF90" s="128"/>
      <c r="AH90" s="186"/>
      <c r="AI90" s="153"/>
      <c r="AJ90" s="128"/>
    </row>
    <row r="91" spans="1:36" s="170" customFormat="1" ht="13.35" hidden="1" customHeight="1" outlineLevel="1" x14ac:dyDescent="0.25">
      <c r="A91" s="117" t="s">
        <v>152</v>
      </c>
      <c r="B91" s="117" t="s">
        <v>153</v>
      </c>
      <c r="E91" s="171"/>
      <c r="F91" s="172"/>
      <c r="G91" s="173"/>
      <c r="H91" s="143">
        <v>6501700</v>
      </c>
      <c r="I91" s="144">
        <v>6501700</v>
      </c>
      <c r="J91" s="145">
        <f t="shared" si="70"/>
        <v>0</v>
      </c>
      <c r="K91" s="297">
        <f>1170300+780200</f>
        <v>1950500</v>
      </c>
      <c r="L91" s="297"/>
      <c r="M91" s="135">
        <f t="shared" si="71"/>
        <v>1950500</v>
      </c>
      <c r="N91" s="135">
        <f>1235300+3315900</f>
        <v>4551200</v>
      </c>
      <c r="O91" s="135"/>
      <c r="P91" s="135">
        <f t="shared" si="72"/>
        <v>6501700</v>
      </c>
      <c r="Q91" s="299">
        <v>1690177.24</v>
      </c>
      <c r="R91" s="300">
        <f>5831481-Q91</f>
        <v>4141303.76</v>
      </c>
      <c r="S91" s="144">
        <f t="shared" ref="S91:S111" si="76">SUM(Q91:R91)</f>
        <v>5831481</v>
      </c>
      <c r="T91" s="126">
        <f t="shared" si="66"/>
        <v>0.28983670528978828</v>
      </c>
      <c r="U91" s="224">
        <f t="shared" si="67"/>
        <v>-670219</v>
      </c>
      <c r="V91" s="225">
        <f t="shared" si="68"/>
        <v>670219</v>
      </c>
      <c r="W91" s="128">
        <f t="shared" ref="W91:W113" si="77">IF(ISERR(V91/P91),"-",V91/P91)</f>
        <v>0.1030836550440654</v>
      </c>
      <c r="X91" s="175"/>
      <c r="Y91" s="176"/>
      <c r="Z91" s="143">
        <f>'[1]2021-22'!C659</f>
        <v>5363315.8899999997</v>
      </c>
      <c r="AA91" s="153">
        <f>O91-Z91</f>
        <v>-5363315.8899999997</v>
      </c>
      <c r="AB91" s="128">
        <f>IF(ISERR(AA91/Z91),"-",AA91/Z91)</f>
        <v>-1</v>
      </c>
      <c r="AC91" s="176"/>
      <c r="AD91" s="143">
        <v>5553814.2199999997</v>
      </c>
      <c r="AE91" s="153">
        <f>S91-AD91</f>
        <v>277666.78000000026</v>
      </c>
      <c r="AF91" s="128">
        <f>IF(ISERR(AE91/AD91),"-",AE91/AD91)</f>
        <v>4.9995691069407121E-2</v>
      </c>
      <c r="AH91" s="143">
        <v>5796045.8399999999</v>
      </c>
      <c r="AI91" s="153">
        <f>S91-AH91</f>
        <v>35435.160000000149</v>
      </c>
      <c r="AJ91" s="128">
        <f t="shared" ref="AJ91:AJ113" si="78">IF(ISERR(AI91/AH91),"-",AI91/AH91)</f>
        <v>6.1136783555873582E-3</v>
      </c>
    </row>
    <row r="92" spans="1:36" ht="13.35" hidden="1" customHeight="1" outlineLevel="1" x14ac:dyDescent="0.3">
      <c r="A92" s="64" t="s">
        <v>154</v>
      </c>
      <c r="B92" s="64" t="s">
        <v>155</v>
      </c>
      <c r="E92" s="202"/>
      <c r="F92" s="203"/>
      <c r="G92" s="204"/>
      <c r="H92" s="143">
        <v>616300</v>
      </c>
      <c r="I92" s="144">
        <v>616300</v>
      </c>
      <c r="J92" s="145">
        <f t="shared" si="70"/>
        <v>0</v>
      </c>
      <c r="K92" s="272">
        <f>172600+129400</f>
        <v>302000</v>
      </c>
      <c r="L92" s="272"/>
      <c r="M92" s="135">
        <f t="shared" si="71"/>
        <v>302000</v>
      </c>
      <c r="N92" s="135">
        <f>80100+234200</f>
        <v>314300</v>
      </c>
      <c r="O92" s="135"/>
      <c r="P92" s="135">
        <f t="shared" si="72"/>
        <v>616300</v>
      </c>
      <c r="Q92" s="284">
        <v>237328.82</v>
      </c>
      <c r="R92" s="285">
        <f>626236-Q92</f>
        <v>388907.18</v>
      </c>
      <c r="S92" s="148">
        <f t="shared" si="76"/>
        <v>626236</v>
      </c>
      <c r="T92" s="149">
        <f t="shared" si="66"/>
        <v>0.3789766477813476</v>
      </c>
      <c r="U92" s="224">
        <f t="shared" si="67"/>
        <v>9936</v>
      </c>
      <c r="V92" s="150">
        <f t="shared" si="68"/>
        <v>-9936</v>
      </c>
      <c r="W92" s="256">
        <f t="shared" si="77"/>
        <v>-1.6122018497484993E-2</v>
      </c>
      <c r="X92" s="184"/>
      <c r="Y92" s="185"/>
      <c r="Z92" s="186">
        <f>'[1]2021-22'!C661</f>
        <v>626236.38</v>
      </c>
      <c r="AA92" s="255">
        <f>O92-Z92</f>
        <v>-626236.38</v>
      </c>
      <c r="AB92" s="256">
        <f>IF(ISERR(AA92/Z92),"-",AA92/Z92)</f>
        <v>-1</v>
      </c>
      <c r="AC92" s="185"/>
      <c r="AD92" s="186">
        <v>562138.17000000004</v>
      </c>
      <c r="AE92" s="255">
        <f>S92-AD92</f>
        <v>64097.829999999958</v>
      </c>
      <c r="AF92" s="256">
        <f>IF(ISERR(AE92/AD92),"-",AE92/AD92)</f>
        <v>0.11402504476790813</v>
      </c>
      <c r="AH92" s="186">
        <v>523475.75</v>
      </c>
      <c r="AI92" s="255">
        <f>S92-AH92</f>
        <v>102760.25</v>
      </c>
      <c r="AJ92" s="256">
        <f t="shared" si="78"/>
        <v>0.19630374472934037</v>
      </c>
    </row>
    <row r="93" spans="1:36" ht="13.35" hidden="1" customHeight="1" outlineLevel="1" x14ac:dyDescent="0.3">
      <c r="A93" s="64" t="s">
        <v>156</v>
      </c>
      <c r="B93" s="64" t="s">
        <v>157</v>
      </c>
      <c r="E93" s="202"/>
      <c r="F93" s="203"/>
      <c r="G93" s="204"/>
      <c r="H93" s="186"/>
      <c r="I93" s="144"/>
      <c r="J93" s="145">
        <f t="shared" si="70"/>
        <v>0</v>
      </c>
      <c r="K93" s="272">
        <f>400+400</f>
        <v>800</v>
      </c>
      <c r="L93" s="272"/>
      <c r="M93" s="135">
        <f t="shared" si="71"/>
        <v>800</v>
      </c>
      <c r="N93" s="135">
        <f>400+400</f>
        <v>800</v>
      </c>
      <c r="O93" s="135"/>
      <c r="P93" s="135">
        <f t="shared" si="72"/>
        <v>1600</v>
      </c>
      <c r="Q93" s="284"/>
      <c r="R93" s="285"/>
      <c r="S93" s="148">
        <f t="shared" ref="S93" si="79">SUM(Q93:R93)</f>
        <v>0</v>
      </c>
      <c r="T93" s="149" t="str">
        <f t="shared" si="66"/>
        <v>-</v>
      </c>
      <c r="U93" s="224">
        <f t="shared" si="67"/>
        <v>0</v>
      </c>
      <c r="V93" s="150">
        <f t="shared" si="68"/>
        <v>1600</v>
      </c>
      <c r="W93" s="256">
        <f t="shared" si="77"/>
        <v>1</v>
      </c>
      <c r="X93" s="184"/>
      <c r="Y93" s="185"/>
      <c r="Z93" s="186"/>
      <c r="AA93" s="255">
        <f>O93-Z93</f>
        <v>0</v>
      </c>
      <c r="AB93" s="256" t="str">
        <f>IF(ISERR(AA93/Z93),"-",AA93/Z93)</f>
        <v>-</v>
      </c>
      <c r="AC93" s="185"/>
      <c r="AD93" s="186"/>
      <c r="AE93" s="255">
        <f>S93-AD93</f>
        <v>0</v>
      </c>
      <c r="AF93" s="256" t="str">
        <f>IF(ISERR(AE93/AD93),"-",AE93/AD93)</f>
        <v>-</v>
      </c>
      <c r="AH93" s="186"/>
      <c r="AI93" s="255">
        <f>S93-AH93</f>
        <v>0</v>
      </c>
      <c r="AJ93" s="256" t="str">
        <f t="shared" si="78"/>
        <v>-</v>
      </c>
    </row>
    <row r="94" spans="1:36" ht="13.35" hidden="1" customHeight="1" outlineLevel="1" x14ac:dyDescent="0.3">
      <c r="A94" s="64" t="s">
        <v>158</v>
      </c>
      <c r="B94" s="64" t="s">
        <v>159</v>
      </c>
      <c r="E94" s="202"/>
      <c r="F94" s="203"/>
      <c r="G94" s="204"/>
      <c r="H94" s="186">
        <v>2747100</v>
      </c>
      <c r="I94" s="144">
        <v>2747100</v>
      </c>
      <c r="J94" s="145">
        <f t="shared" si="70"/>
        <v>0</v>
      </c>
      <c r="K94" s="272">
        <f>686800+686800</f>
        <v>1373600</v>
      </c>
      <c r="L94" s="272"/>
      <c r="M94" s="135">
        <f t="shared" si="71"/>
        <v>1373600</v>
      </c>
      <c r="N94" s="135">
        <f>686800+686700</f>
        <v>1373500</v>
      </c>
      <c r="O94" s="135"/>
      <c r="P94" s="135">
        <f t="shared" si="72"/>
        <v>2747100</v>
      </c>
      <c r="Q94" s="284">
        <v>1311374.6100000001</v>
      </c>
      <c r="R94" s="285">
        <f>2747149-Q94</f>
        <v>1435774.39</v>
      </c>
      <c r="S94" s="148">
        <f t="shared" si="76"/>
        <v>2747149</v>
      </c>
      <c r="T94" s="149">
        <f t="shared" si="66"/>
        <v>0.47735838500205124</v>
      </c>
      <c r="U94" s="224">
        <f t="shared" si="67"/>
        <v>49</v>
      </c>
      <c r="V94" s="150">
        <f t="shared" si="68"/>
        <v>-49</v>
      </c>
      <c r="W94" s="256">
        <f t="shared" si="77"/>
        <v>-1.7836991736740564E-5</v>
      </c>
      <c r="X94" s="184"/>
      <c r="Y94" s="185"/>
      <c r="Z94" s="186">
        <f>'[1]2021-22'!C663</f>
        <v>2588331.86</v>
      </c>
      <c r="AA94" s="255">
        <f>O94-Z94</f>
        <v>-2588331.86</v>
      </c>
      <c r="AB94" s="256">
        <f>IF(ISERR(AA94/Z94),"-",AA94/Z94)</f>
        <v>-1</v>
      </c>
      <c r="AC94" s="185"/>
      <c r="AD94" s="186">
        <v>2719939.14</v>
      </c>
      <c r="AE94" s="255">
        <f>S94-AD94</f>
        <v>27209.85999999987</v>
      </c>
      <c r="AF94" s="256">
        <f>IF(ISERR(AE94/AD94),"-",AE94/AD94)</f>
        <v>1.000384883611766E-2</v>
      </c>
      <c r="AH94" s="186">
        <v>2713761.2</v>
      </c>
      <c r="AI94" s="255">
        <f>S94-AH94</f>
        <v>33387.799999999814</v>
      </c>
      <c r="AJ94" s="256">
        <f t="shared" si="78"/>
        <v>1.2303145906868965E-2</v>
      </c>
    </row>
    <row r="95" spans="1:36" s="170" customFormat="1" ht="13.35" hidden="1" customHeight="1" outlineLevel="1" x14ac:dyDescent="0.25">
      <c r="A95" s="117" t="s">
        <v>160</v>
      </c>
      <c r="B95" s="117" t="s">
        <v>161</v>
      </c>
      <c r="E95" s="171"/>
      <c r="F95" s="172"/>
      <c r="G95" s="173"/>
      <c r="H95" s="143">
        <v>392500</v>
      </c>
      <c r="I95" s="144">
        <v>392500</v>
      </c>
      <c r="J95" s="145">
        <f t="shared" si="70"/>
        <v>0</v>
      </c>
      <c r="K95" s="297">
        <f>74600+109900</f>
        <v>184500</v>
      </c>
      <c r="L95" s="297"/>
      <c r="M95" s="135">
        <f t="shared" si="71"/>
        <v>184500</v>
      </c>
      <c r="N95" s="135">
        <f>86400+121600</f>
        <v>208000</v>
      </c>
      <c r="O95" s="304">
        <v>16000</v>
      </c>
      <c r="P95" s="135">
        <f t="shared" si="72"/>
        <v>408500</v>
      </c>
      <c r="Q95" s="299">
        <v>157294.79</v>
      </c>
      <c r="R95" s="300">
        <f>376088-Q95+16000</f>
        <v>234793.21</v>
      </c>
      <c r="S95" s="144">
        <f t="shared" si="76"/>
        <v>392088</v>
      </c>
      <c r="T95" s="126">
        <f t="shared" si="66"/>
        <v>0.40117216033135422</v>
      </c>
      <c r="U95" s="224">
        <f t="shared" si="67"/>
        <v>-412</v>
      </c>
      <c r="V95" s="225">
        <f t="shared" si="68"/>
        <v>16412</v>
      </c>
      <c r="W95" s="128">
        <f t="shared" si="77"/>
        <v>4.0176254589963281E-2</v>
      </c>
      <c r="X95" s="175"/>
      <c r="Y95" s="176"/>
      <c r="Z95" s="143">
        <f>'[1]2021-22'!C664</f>
        <v>358692.58</v>
      </c>
      <c r="AA95" s="153">
        <f t="shared" ref="AA95:AA112" si="80">O95-Z95</f>
        <v>-342692.58</v>
      </c>
      <c r="AB95" s="128">
        <f t="shared" ref="AB95:AB113" si="81">IF(ISERR(AA95/Z95),"-",AA95/Z95)</f>
        <v>-0.95539355734651665</v>
      </c>
      <c r="AC95" s="176"/>
      <c r="AD95" s="143">
        <v>301981.32</v>
      </c>
      <c r="AE95" s="153">
        <f t="shared" ref="AE95:AE112" si="82">S95-AD95</f>
        <v>90106.68</v>
      </c>
      <c r="AF95" s="128">
        <f t="shared" ref="AF95:AF113" si="83">IF(ISERR(AE95/AD95),"-",AE95/AD95)</f>
        <v>0.29838494645960217</v>
      </c>
      <c r="AH95" s="143">
        <v>262978.95</v>
      </c>
      <c r="AI95" s="153">
        <f t="shared" ref="AI95:AI112" si="84">S95-AH95</f>
        <v>129109.04999999999</v>
      </c>
      <c r="AJ95" s="128">
        <f t="shared" si="78"/>
        <v>0.49094822988684067</v>
      </c>
    </row>
    <row r="96" spans="1:36" s="170" customFormat="1" ht="13.35" hidden="1" customHeight="1" outlineLevel="1" x14ac:dyDescent="0.25">
      <c r="A96" s="117" t="s">
        <v>162</v>
      </c>
      <c r="B96" s="117" t="s">
        <v>163</v>
      </c>
      <c r="E96" s="171"/>
      <c r="F96" s="172"/>
      <c r="G96" s="173"/>
      <c r="H96" s="143"/>
      <c r="I96" s="144"/>
      <c r="J96" s="145">
        <f t="shared" si="70"/>
        <v>0</v>
      </c>
      <c r="K96" s="297">
        <f>287600+365800</f>
        <v>653400</v>
      </c>
      <c r="L96" s="297"/>
      <c r="M96" s="135">
        <f t="shared" si="71"/>
        <v>653400</v>
      </c>
      <c r="N96" s="135">
        <f>408400+561900</f>
        <v>970300</v>
      </c>
      <c r="O96" s="135">
        <v>-1623700</v>
      </c>
      <c r="P96" s="135">
        <f t="shared" si="72"/>
        <v>0</v>
      </c>
      <c r="Q96" s="299"/>
      <c r="R96" s="300"/>
      <c r="S96" s="144">
        <f t="shared" si="76"/>
        <v>0</v>
      </c>
      <c r="T96" s="126"/>
      <c r="U96" s="224"/>
      <c r="V96" s="225"/>
      <c r="W96" s="128"/>
      <c r="X96" s="175"/>
      <c r="Y96" s="176"/>
      <c r="Z96" s="143"/>
      <c r="AA96" s="153"/>
      <c r="AB96" s="128"/>
      <c r="AC96" s="176"/>
      <c r="AD96" s="143"/>
      <c r="AE96" s="153"/>
      <c r="AF96" s="128"/>
      <c r="AH96" s="143"/>
      <c r="AI96" s="153"/>
      <c r="AJ96" s="128"/>
    </row>
    <row r="97" spans="1:36" s="170" customFormat="1" ht="13.35" hidden="1" customHeight="1" outlineLevel="1" x14ac:dyDescent="0.25">
      <c r="A97" s="117" t="s">
        <v>164</v>
      </c>
      <c r="B97" s="117" t="s">
        <v>165</v>
      </c>
      <c r="E97" s="171"/>
      <c r="F97" s="172"/>
      <c r="G97" s="173"/>
      <c r="H97" s="143"/>
      <c r="I97" s="144"/>
      <c r="J97" s="145">
        <f t="shared" si="70"/>
        <v>0</v>
      </c>
      <c r="K97" s="297"/>
      <c r="L97" s="297"/>
      <c r="M97" s="135">
        <f t="shared" si="71"/>
        <v>0</v>
      </c>
      <c r="N97" s="135"/>
      <c r="O97" s="135"/>
      <c r="P97" s="135">
        <f t="shared" si="72"/>
        <v>0</v>
      </c>
      <c r="Q97" s="299"/>
      <c r="R97" s="300"/>
      <c r="S97" s="144">
        <f t="shared" ref="S97" si="85">SUM(Q97:R97)</f>
        <v>0</v>
      </c>
      <c r="T97" s="126" t="str">
        <f t="shared" ref="T97" si="86">IF(ISERR(Q97/S97),"-",Q97/S97)</f>
        <v>-</v>
      </c>
      <c r="U97" s="224">
        <f t="shared" ref="U97" si="87">S97-I97</f>
        <v>0</v>
      </c>
      <c r="V97" s="225">
        <f t="shared" ref="V97" si="88">P97-S97</f>
        <v>0</v>
      </c>
      <c r="W97" s="128" t="str">
        <f t="shared" si="77"/>
        <v>-</v>
      </c>
      <c r="X97" s="175"/>
      <c r="Y97" s="176"/>
      <c r="Z97" s="143">
        <f>'[1]2021-22'!C665</f>
        <v>29173</v>
      </c>
      <c r="AA97" s="153">
        <f t="shared" si="80"/>
        <v>-29173</v>
      </c>
      <c r="AB97" s="128">
        <f t="shared" si="81"/>
        <v>-1</v>
      </c>
      <c r="AC97" s="176"/>
      <c r="AD97" s="143"/>
      <c r="AE97" s="153">
        <f t="shared" si="82"/>
        <v>0</v>
      </c>
      <c r="AF97" s="128" t="str">
        <f t="shared" si="83"/>
        <v>-</v>
      </c>
      <c r="AH97" s="143"/>
      <c r="AI97" s="153">
        <f t="shared" si="84"/>
        <v>0</v>
      </c>
      <c r="AJ97" s="128" t="str">
        <f t="shared" si="78"/>
        <v>-</v>
      </c>
    </row>
    <row r="98" spans="1:36" ht="13.35" hidden="1" customHeight="1" outlineLevel="1" x14ac:dyDescent="0.3">
      <c r="A98" s="64" t="s">
        <v>166</v>
      </c>
      <c r="B98" s="64" t="s">
        <v>167</v>
      </c>
      <c r="E98" s="202"/>
      <c r="F98" s="203"/>
      <c r="G98" s="204"/>
      <c r="H98" s="143">
        <v>1361300</v>
      </c>
      <c r="I98" s="144">
        <v>1361300</v>
      </c>
      <c r="J98" s="145">
        <f t="shared" si="70"/>
        <v>0</v>
      </c>
      <c r="K98" s="272">
        <f>190600+95300</f>
        <v>285900</v>
      </c>
      <c r="L98" s="272"/>
      <c r="M98" s="135">
        <f t="shared" si="71"/>
        <v>285900</v>
      </c>
      <c r="N98" s="135">
        <f>381200+694200</f>
        <v>1075400</v>
      </c>
      <c r="O98" s="304">
        <v>75000</v>
      </c>
      <c r="P98" s="135">
        <f t="shared" si="72"/>
        <v>1436300</v>
      </c>
      <c r="Q98" s="284">
        <v>226634.77</v>
      </c>
      <c r="R98" s="285">
        <f>1275250-Q98+75000</f>
        <v>1123615.23</v>
      </c>
      <c r="S98" s="148">
        <f t="shared" si="76"/>
        <v>1350250</v>
      </c>
      <c r="T98" s="149">
        <f t="shared" si="66"/>
        <v>0.16784652471764488</v>
      </c>
      <c r="U98" s="224">
        <f t="shared" si="67"/>
        <v>-11050</v>
      </c>
      <c r="V98" s="150">
        <f t="shared" si="68"/>
        <v>86050</v>
      </c>
      <c r="W98" s="256">
        <f t="shared" si="77"/>
        <v>5.9910882127689198E-2</v>
      </c>
      <c r="X98" s="253"/>
      <c r="Y98" s="254"/>
      <c r="Z98" s="186">
        <f>'[1]2021-22'!C666</f>
        <v>928809.84</v>
      </c>
      <c r="AA98" s="255">
        <f t="shared" si="80"/>
        <v>-853809.84</v>
      </c>
      <c r="AB98" s="256">
        <f t="shared" si="81"/>
        <v>-0.9192515014698811</v>
      </c>
      <c r="AC98" s="254"/>
      <c r="AD98" s="186">
        <v>935369.44</v>
      </c>
      <c r="AE98" s="255">
        <f t="shared" si="82"/>
        <v>414880.56000000006</v>
      </c>
      <c r="AF98" s="256">
        <f t="shared" si="83"/>
        <v>0.44354726833923513</v>
      </c>
      <c r="AH98" s="186">
        <v>877256.27</v>
      </c>
      <c r="AI98" s="255">
        <f t="shared" si="84"/>
        <v>472993.73</v>
      </c>
      <c r="AJ98" s="256">
        <f t="shared" si="78"/>
        <v>0.53917395198554685</v>
      </c>
    </row>
    <row r="99" spans="1:36" ht="13.35" hidden="1" customHeight="1" outlineLevel="1" x14ac:dyDescent="0.3">
      <c r="A99" s="64" t="s">
        <v>168</v>
      </c>
      <c r="B99" s="64" t="s">
        <v>169</v>
      </c>
      <c r="E99" s="202"/>
      <c r="F99" s="203"/>
      <c r="G99" s="204"/>
      <c r="H99" s="186"/>
      <c r="I99" s="144"/>
      <c r="J99" s="145">
        <f t="shared" si="70"/>
        <v>0</v>
      </c>
      <c r="K99" s="272"/>
      <c r="L99" s="272"/>
      <c r="M99" s="135">
        <f t="shared" si="71"/>
        <v>0</v>
      </c>
      <c r="N99" s="135"/>
      <c r="O99" s="135"/>
      <c r="P99" s="135">
        <f t="shared" si="72"/>
        <v>0</v>
      </c>
      <c r="Q99" s="284"/>
      <c r="R99" s="285"/>
      <c r="S99" s="148">
        <f t="shared" si="76"/>
        <v>0</v>
      </c>
      <c r="T99" s="149" t="str">
        <f t="shared" si="66"/>
        <v>-</v>
      </c>
      <c r="U99" s="224">
        <f t="shared" si="67"/>
        <v>0</v>
      </c>
      <c r="V99" s="150">
        <f t="shared" si="68"/>
        <v>0</v>
      </c>
      <c r="W99" s="256" t="str">
        <f t="shared" si="77"/>
        <v>-</v>
      </c>
      <c r="X99" s="184"/>
      <c r="Y99" s="185"/>
      <c r="Z99" s="186">
        <f>'[1]2021-22'!C667</f>
        <v>139.9</v>
      </c>
      <c r="AA99" s="255">
        <f t="shared" si="80"/>
        <v>-139.9</v>
      </c>
      <c r="AB99" s="256">
        <f t="shared" si="81"/>
        <v>-1</v>
      </c>
      <c r="AC99" s="185"/>
      <c r="AD99" s="186">
        <v>0</v>
      </c>
      <c r="AE99" s="255">
        <f t="shared" si="82"/>
        <v>0</v>
      </c>
      <c r="AF99" s="256" t="str">
        <f t="shared" si="83"/>
        <v>-</v>
      </c>
      <c r="AH99" s="186">
        <v>4013.75</v>
      </c>
      <c r="AI99" s="255">
        <f t="shared" si="84"/>
        <v>-4013.75</v>
      </c>
      <c r="AJ99" s="256">
        <f t="shared" si="78"/>
        <v>-1</v>
      </c>
    </row>
    <row r="100" spans="1:36" s="170" customFormat="1" ht="13.35" hidden="1" customHeight="1" outlineLevel="1" x14ac:dyDescent="0.25">
      <c r="A100" s="117" t="s">
        <v>170</v>
      </c>
      <c r="B100" s="117" t="s">
        <v>171</v>
      </c>
      <c r="E100" s="171"/>
      <c r="F100" s="172"/>
      <c r="G100" s="173"/>
      <c r="H100" s="143">
        <v>538000</v>
      </c>
      <c r="I100" s="144">
        <v>538000</v>
      </c>
      <c r="J100" s="145">
        <f t="shared" si="70"/>
        <v>0</v>
      </c>
      <c r="K100" s="297">
        <f>46000+129200</f>
        <v>175200</v>
      </c>
      <c r="L100" s="297"/>
      <c r="M100" s="135">
        <f t="shared" si="71"/>
        <v>175200</v>
      </c>
      <c r="N100" s="135">
        <f>180600+182200</f>
        <v>362800</v>
      </c>
      <c r="O100" s="304">
        <v>28000</v>
      </c>
      <c r="P100" s="135">
        <f t="shared" si="72"/>
        <v>566000</v>
      </c>
      <c r="Q100" s="299">
        <v>235668.86</v>
      </c>
      <c r="R100" s="300">
        <f>'[1]Main Veh'!O31-'[1]Operating Results'!Q100</f>
        <v>323392.57999999996</v>
      </c>
      <c r="S100" s="144">
        <f t="shared" si="76"/>
        <v>559061.43999999994</v>
      </c>
      <c r="T100" s="126">
        <f t="shared" si="66"/>
        <v>0.42154375733729732</v>
      </c>
      <c r="U100" s="224">
        <f t="shared" si="67"/>
        <v>21061.439999999944</v>
      </c>
      <c r="V100" s="225">
        <f t="shared" si="68"/>
        <v>6938.5600000000559</v>
      </c>
      <c r="W100" s="128">
        <f t="shared" si="77"/>
        <v>1.225893992932872E-2</v>
      </c>
      <c r="X100" s="175"/>
      <c r="Y100" s="176"/>
      <c r="Z100" s="143">
        <f>'[1]2021-22'!C668</f>
        <v>530508.67000000004</v>
      </c>
      <c r="AA100" s="153">
        <f t="shared" si="80"/>
        <v>-502508.67000000004</v>
      </c>
      <c r="AB100" s="128">
        <f t="shared" si="81"/>
        <v>-0.94722046672677374</v>
      </c>
      <c r="AC100" s="176"/>
      <c r="AD100" s="143">
        <v>484739.73</v>
      </c>
      <c r="AE100" s="153">
        <f t="shared" si="82"/>
        <v>74321.709999999963</v>
      </c>
      <c r="AF100" s="128">
        <f t="shared" si="83"/>
        <v>0.15332291825966063</v>
      </c>
      <c r="AH100" s="143">
        <v>387901.24</v>
      </c>
      <c r="AI100" s="153">
        <f t="shared" si="84"/>
        <v>171160.19999999995</v>
      </c>
      <c r="AJ100" s="128">
        <f t="shared" si="78"/>
        <v>0.44124684932690589</v>
      </c>
    </row>
    <row r="101" spans="1:36" s="170" customFormat="1" ht="13.35" hidden="1" customHeight="1" outlineLevel="1" x14ac:dyDescent="0.25">
      <c r="A101" s="117" t="s">
        <v>172</v>
      </c>
      <c r="B101" s="117" t="s">
        <v>70</v>
      </c>
      <c r="E101" s="171"/>
      <c r="F101" s="172"/>
      <c r="G101" s="173"/>
      <c r="H101" s="143">
        <f>1600+100+13100</f>
        <v>14800</v>
      </c>
      <c r="I101" s="144">
        <f>13100+1600+100</f>
        <v>14800</v>
      </c>
      <c r="J101" s="145">
        <f t="shared" si="70"/>
        <v>0</v>
      </c>
      <c r="K101" s="297">
        <f>3300+3300</f>
        <v>6600</v>
      </c>
      <c r="L101" s="297"/>
      <c r="M101" s="135">
        <f t="shared" si="71"/>
        <v>6600</v>
      </c>
      <c r="N101" s="135">
        <f>3300+3200</f>
        <v>6500</v>
      </c>
      <c r="O101" s="135"/>
      <c r="P101" s="135">
        <f t="shared" si="72"/>
        <v>13100</v>
      </c>
      <c r="Q101" s="299">
        <v>90401.26</v>
      </c>
      <c r="R101" s="300">
        <f>124012-Q101</f>
        <v>33610.740000000005</v>
      </c>
      <c r="S101" s="144">
        <f t="shared" ref="S101" si="89">SUM(Q101:R101)</f>
        <v>124012</v>
      </c>
      <c r="T101" s="126">
        <f t="shared" si="66"/>
        <v>0.72897187368964289</v>
      </c>
      <c r="U101" s="224">
        <f t="shared" si="67"/>
        <v>109212</v>
      </c>
      <c r="V101" s="225">
        <f t="shared" si="68"/>
        <v>-110912</v>
      </c>
      <c r="W101" s="128">
        <f t="shared" si="77"/>
        <v>-8.466564885496183</v>
      </c>
      <c r="X101" s="175"/>
      <c r="Y101" s="176"/>
      <c r="Z101" s="143"/>
      <c r="AA101" s="153">
        <f t="shared" si="80"/>
        <v>0</v>
      </c>
      <c r="AB101" s="128" t="str">
        <f t="shared" si="81"/>
        <v>-</v>
      </c>
      <c r="AC101" s="176"/>
      <c r="AD101" s="143">
        <v>144648.29000000004</v>
      </c>
      <c r="AE101" s="153">
        <f t="shared" si="82"/>
        <v>-20636.290000000037</v>
      </c>
      <c r="AF101" s="128">
        <f t="shared" si="83"/>
        <v>-0.14266528833489861</v>
      </c>
      <c r="AH101" s="143">
        <v>115534.39999999999</v>
      </c>
      <c r="AI101" s="153">
        <f t="shared" si="84"/>
        <v>8477.6000000000058</v>
      </c>
      <c r="AJ101" s="128">
        <f t="shared" si="78"/>
        <v>7.3377279840463161E-2</v>
      </c>
    </row>
    <row r="102" spans="1:36" ht="13.35" hidden="1" customHeight="1" outlineLevel="1" x14ac:dyDescent="0.3">
      <c r="A102" s="64" t="s">
        <v>173</v>
      </c>
      <c r="B102" s="64" t="s">
        <v>174</v>
      </c>
      <c r="E102" s="202"/>
      <c r="F102" s="203"/>
      <c r="G102" s="204"/>
      <c r="H102" s="143">
        <v>1239600</v>
      </c>
      <c r="I102" s="144">
        <v>1239600</v>
      </c>
      <c r="J102" s="145">
        <f t="shared" si="70"/>
        <v>0</v>
      </c>
      <c r="K102" s="272">
        <f>185900+12400</f>
        <v>198300</v>
      </c>
      <c r="L102" s="272"/>
      <c r="M102" s="135">
        <f t="shared" si="71"/>
        <v>198300</v>
      </c>
      <c r="N102" s="135">
        <f>297500+743800</f>
        <v>1041300</v>
      </c>
      <c r="O102" s="304">
        <v>224000</v>
      </c>
      <c r="P102" s="135">
        <f t="shared" si="72"/>
        <v>1463600</v>
      </c>
      <c r="Q102" s="284">
        <v>205949.63</v>
      </c>
      <c r="R102" s="285">
        <f>'[1]Heating Fuel'!AB38-'[1]Operating Results'!Q102</f>
        <v>1257424.1945520001</v>
      </c>
      <c r="S102" s="148">
        <f t="shared" si="76"/>
        <v>1463373.824552</v>
      </c>
      <c r="T102" s="149">
        <f t="shared" si="66"/>
        <v>0.14073617181382195</v>
      </c>
      <c r="U102" s="224">
        <f t="shared" si="67"/>
        <v>223773.82455200003</v>
      </c>
      <c r="V102" s="150">
        <f t="shared" si="68"/>
        <v>226.1754479999654</v>
      </c>
      <c r="W102" s="256">
        <f t="shared" si="77"/>
        <v>1.5453364853782822E-4</v>
      </c>
      <c r="X102" s="253"/>
      <c r="Y102" s="254"/>
      <c r="Z102" s="186">
        <f>'[1]2021-22'!C679</f>
        <v>905648.16</v>
      </c>
      <c r="AA102" s="255">
        <f t="shared" si="80"/>
        <v>-681648.16</v>
      </c>
      <c r="AB102" s="256">
        <f t="shared" si="81"/>
        <v>-0.75266333009498965</v>
      </c>
      <c r="AC102" s="254"/>
      <c r="AD102" s="186">
        <v>798100.49</v>
      </c>
      <c r="AE102" s="255">
        <f t="shared" si="82"/>
        <v>665273.33455200004</v>
      </c>
      <c r="AF102" s="256">
        <f t="shared" si="83"/>
        <v>0.83357088848798988</v>
      </c>
      <c r="AH102" s="186">
        <v>802145.7</v>
      </c>
      <c r="AI102" s="255">
        <f t="shared" si="84"/>
        <v>661228.12455200008</v>
      </c>
      <c r="AJ102" s="256">
        <f t="shared" si="78"/>
        <v>0.82432421510456277</v>
      </c>
    </row>
    <row r="103" spans="1:36" ht="13.35" hidden="1" customHeight="1" outlineLevel="1" x14ac:dyDescent="0.3">
      <c r="A103" s="64" t="s">
        <v>175</v>
      </c>
      <c r="B103" s="64" t="s">
        <v>176</v>
      </c>
      <c r="E103" s="202"/>
      <c r="F103" s="203"/>
      <c r="G103" s="204"/>
      <c r="H103" s="143">
        <f>699800+104300</f>
        <v>804100</v>
      </c>
      <c r="I103" s="144">
        <v>804100</v>
      </c>
      <c r="J103" s="145">
        <f t="shared" si="70"/>
        <v>0</v>
      </c>
      <c r="K103" s="272">
        <f>125700+18700+32000+4800</f>
        <v>181200</v>
      </c>
      <c r="L103" s="272"/>
      <c r="M103" s="135">
        <f t="shared" si="71"/>
        <v>181200</v>
      </c>
      <c r="N103" s="135">
        <f>125200+416900+18700+62100</f>
        <v>622900</v>
      </c>
      <c r="O103" s="135"/>
      <c r="P103" s="135">
        <f t="shared" si="72"/>
        <v>804100</v>
      </c>
      <c r="Q103" s="284">
        <v>157960.93</v>
      </c>
      <c r="R103" s="285">
        <f>'[1]Natural Gas'!N293-'[1]Operating Results'!Q103</f>
        <v>670064.82824090822</v>
      </c>
      <c r="S103" s="148">
        <f t="shared" ref="S103:S107" si="90">SUM(Q103:R103)</f>
        <v>828025.75824090815</v>
      </c>
      <c r="T103" s="149">
        <f t="shared" si="66"/>
        <v>0.19076813544493915</v>
      </c>
      <c r="U103" s="224">
        <f t="shared" si="67"/>
        <v>23925.758240908151</v>
      </c>
      <c r="V103" s="150">
        <f t="shared" si="68"/>
        <v>-23925.758240908151</v>
      </c>
      <c r="W103" s="256">
        <f t="shared" si="77"/>
        <v>-2.9754704938326267E-2</v>
      </c>
      <c r="X103" s="253"/>
      <c r="Y103" s="254"/>
      <c r="Z103" s="186">
        <f>'[1]2021-22'!C680</f>
        <v>711096.23</v>
      </c>
      <c r="AA103" s="255">
        <f t="shared" si="80"/>
        <v>-711096.23</v>
      </c>
      <c r="AB103" s="256">
        <f t="shared" si="81"/>
        <v>-1</v>
      </c>
      <c r="AC103" s="254"/>
      <c r="AD103" s="186">
        <v>1055481.8799999999</v>
      </c>
      <c r="AE103" s="255">
        <f t="shared" si="82"/>
        <v>-227456.12175909174</v>
      </c>
      <c r="AF103" s="256">
        <f t="shared" si="83"/>
        <v>-0.21549978836120973</v>
      </c>
      <c r="AH103" s="186">
        <v>832094.44</v>
      </c>
      <c r="AI103" s="255">
        <f t="shared" si="84"/>
        <v>-4068.6817590917926</v>
      </c>
      <c r="AJ103" s="256">
        <f t="shared" si="78"/>
        <v>-4.8896874723640656E-3</v>
      </c>
    </row>
    <row r="104" spans="1:36" ht="13.35" hidden="1" customHeight="1" outlineLevel="1" x14ac:dyDescent="0.3">
      <c r="A104" s="64" t="s">
        <v>177</v>
      </c>
      <c r="B104" s="64" t="s">
        <v>178</v>
      </c>
      <c r="E104" s="202"/>
      <c r="F104" s="203"/>
      <c r="G104" s="204"/>
      <c r="H104" s="143">
        <f>900+159000</f>
        <v>159900</v>
      </c>
      <c r="I104" s="144">
        <v>159900</v>
      </c>
      <c r="J104" s="145">
        <f t="shared" si="70"/>
        <v>0</v>
      </c>
      <c r="K104" s="272">
        <f>11200</f>
        <v>11200</v>
      </c>
      <c r="L104" s="272"/>
      <c r="M104" s="135">
        <f t="shared" si="71"/>
        <v>11200</v>
      </c>
      <c r="N104" s="135">
        <f>59200+89500</f>
        <v>148700</v>
      </c>
      <c r="O104" s="135"/>
      <c r="P104" s="135">
        <f t="shared" si="72"/>
        <v>159900</v>
      </c>
      <c r="Q104" s="284">
        <v>17291.52</v>
      </c>
      <c r="R104" s="285">
        <f>48495-Q104</f>
        <v>31203.48</v>
      </c>
      <c r="S104" s="148">
        <f t="shared" si="90"/>
        <v>48495</v>
      </c>
      <c r="T104" s="149">
        <f t="shared" si="66"/>
        <v>0.35656294463346738</v>
      </c>
      <c r="U104" s="224">
        <f t="shared" si="67"/>
        <v>-111405</v>
      </c>
      <c r="V104" s="150">
        <f t="shared" si="68"/>
        <v>111405</v>
      </c>
      <c r="W104" s="256">
        <f t="shared" si="77"/>
        <v>0.69671669793621016</v>
      </c>
      <c r="X104" s="253"/>
      <c r="Y104" s="254"/>
      <c r="Z104" s="186">
        <f>'[1]2021-22'!C681</f>
        <v>48494.62</v>
      </c>
      <c r="AA104" s="255">
        <f t="shared" si="80"/>
        <v>-48494.62</v>
      </c>
      <c r="AB104" s="256">
        <f t="shared" si="81"/>
        <v>-1</v>
      </c>
      <c r="AC104" s="254"/>
      <c r="AD104" s="186">
        <v>57035.69</v>
      </c>
      <c r="AE104" s="255">
        <f t="shared" si="82"/>
        <v>-8540.6900000000023</v>
      </c>
      <c r="AF104" s="256">
        <f t="shared" si="83"/>
        <v>-0.14974290659059269</v>
      </c>
      <c r="AH104" s="186">
        <v>48283.61</v>
      </c>
      <c r="AI104" s="255">
        <f t="shared" si="84"/>
        <v>211.38999999999942</v>
      </c>
      <c r="AJ104" s="256">
        <f t="shared" si="78"/>
        <v>4.378090204937026E-3</v>
      </c>
    </row>
    <row r="105" spans="1:36" ht="13.35" hidden="1" customHeight="1" outlineLevel="1" x14ac:dyDescent="0.3">
      <c r="A105" s="64" t="s">
        <v>179</v>
      </c>
      <c r="B105" s="64" t="s">
        <v>180</v>
      </c>
      <c r="E105" s="202"/>
      <c r="F105" s="203"/>
      <c r="G105" s="204"/>
      <c r="H105" s="143"/>
      <c r="I105" s="144"/>
      <c r="J105" s="145">
        <f t="shared" si="70"/>
        <v>0</v>
      </c>
      <c r="K105" s="272">
        <f>55800+69000+6500</f>
        <v>131300</v>
      </c>
      <c r="L105" s="272"/>
      <c r="M105" s="135">
        <f t="shared" si="71"/>
        <v>131300</v>
      </c>
      <c r="N105" s="135">
        <f>250500+178800</f>
        <v>429300</v>
      </c>
      <c r="O105" s="135">
        <f>-491600-69000</f>
        <v>-560600</v>
      </c>
      <c r="P105" s="135">
        <f t="shared" si="72"/>
        <v>0</v>
      </c>
      <c r="Q105" s="284"/>
      <c r="R105" s="285"/>
      <c r="S105" s="148">
        <f t="shared" si="90"/>
        <v>0</v>
      </c>
      <c r="T105" s="149"/>
      <c r="U105" s="224"/>
      <c r="V105" s="150"/>
      <c r="W105" s="256"/>
      <c r="X105" s="253"/>
      <c r="Y105" s="254"/>
      <c r="Z105" s="186"/>
      <c r="AA105" s="255"/>
      <c r="AB105" s="256"/>
      <c r="AC105" s="254"/>
      <c r="AD105" s="186"/>
      <c r="AE105" s="255"/>
      <c r="AF105" s="256"/>
      <c r="AH105" s="186"/>
      <c r="AI105" s="255"/>
      <c r="AJ105" s="256"/>
    </row>
    <row r="106" spans="1:36" ht="13.35" hidden="1" customHeight="1" outlineLevel="1" x14ac:dyDescent="0.3">
      <c r="A106" s="64" t="s">
        <v>181</v>
      </c>
      <c r="B106" s="64" t="s">
        <v>182</v>
      </c>
      <c r="E106" s="202"/>
      <c r="F106" s="203"/>
      <c r="G106" s="204"/>
      <c r="H106" s="143"/>
      <c r="I106" s="144"/>
      <c r="J106" s="145">
        <f t="shared" si="70"/>
        <v>0</v>
      </c>
      <c r="K106" s="272">
        <f>28200+29600</f>
        <v>57800</v>
      </c>
      <c r="L106" s="272"/>
      <c r="M106" s="135">
        <f t="shared" si="71"/>
        <v>57800</v>
      </c>
      <c r="N106" s="135">
        <f>44700+50500</f>
        <v>95200</v>
      </c>
      <c r="O106" s="135">
        <v>-153000</v>
      </c>
      <c r="P106" s="135">
        <f t="shared" si="72"/>
        <v>0</v>
      </c>
      <c r="Q106" s="284"/>
      <c r="R106" s="285"/>
      <c r="S106" s="148">
        <f t="shared" si="90"/>
        <v>0</v>
      </c>
      <c r="T106" s="149"/>
      <c r="U106" s="224"/>
      <c r="V106" s="150"/>
      <c r="W106" s="256"/>
      <c r="X106" s="253"/>
      <c r="Y106" s="254"/>
      <c r="Z106" s="186"/>
      <c r="AA106" s="255"/>
      <c r="AB106" s="256"/>
      <c r="AC106" s="254"/>
      <c r="AD106" s="186"/>
      <c r="AE106" s="255"/>
      <c r="AF106" s="256"/>
      <c r="AH106" s="186"/>
      <c r="AI106" s="255"/>
      <c r="AJ106" s="256"/>
    </row>
    <row r="107" spans="1:36" ht="13.35" hidden="1" customHeight="1" outlineLevel="1" x14ac:dyDescent="0.3">
      <c r="A107" s="305" t="s">
        <v>183</v>
      </c>
      <c r="B107" s="305" t="s">
        <v>79</v>
      </c>
      <c r="C107" s="306"/>
      <c r="D107" s="306"/>
      <c r="E107" s="307"/>
      <c r="F107" s="308"/>
      <c r="G107" s="309"/>
      <c r="H107" s="242"/>
      <c r="I107" s="243"/>
      <c r="J107" s="244"/>
      <c r="K107" s="310"/>
      <c r="L107" s="310"/>
      <c r="M107" s="246">
        <f t="shared" si="71"/>
        <v>0</v>
      </c>
      <c r="N107" s="246"/>
      <c r="O107" s="246"/>
      <c r="P107" s="246">
        <f t="shared" si="72"/>
        <v>0</v>
      </c>
      <c r="Q107" s="311"/>
      <c r="R107" s="312"/>
      <c r="S107" s="267">
        <f t="shared" si="90"/>
        <v>0</v>
      </c>
      <c r="T107" s="268" t="str">
        <f t="shared" si="66"/>
        <v>-</v>
      </c>
      <c r="U107" s="250"/>
      <c r="V107" s="269">
        <f t="shared" si="68"/>
        <v>0</v>
      </c>
      <c r="W107" s="313" t="str">
        <f t="shared" si="77"/>
        <v>-</v>
      </c>
      <c r="X107" s="253"/>
      <c r="Y107" s="254"/>
      <c r="Z107" s="186"/>
      <c r="AA107" s="255"/>
      <c r="AB107" s="256"/>
      <c r="AC107" s="254"/>
      <c r="AD107" s="186"/>
      <c r="AE107" s="255"/>
      <c r="AF107" s="256"/>
      <c r="AH107" s="186"/>
      <c r="AI107" s="255"/>
      <c r="AJ107" s="256"/>
    </row>
    <row r="108" spans="1:36" ht="13.35" hidden="1" customHeight="1" outlineLevel="1" x14ac:dyDescent="0.3">
      <c r="A108" s="64" t="s">
        <v>184</v>
      </c>
      <c r="B108" s="64" t="s">
        <v>163</v>
      </c>
      <c r="C108" s="1"/>
      <c r="E108" s="202"/>
      <c r="F108" s="203"/>
      <c r="G108" s="204"/>
      <c r="H108" s="186">
        <v>1623700</v>
      </c>
      <c r="I108" s="144">
        <v>1623700</v>
      </c>
      <c r="J108" s="145">
        <f t="shared" si="70"/>
        <v>0</v>
      </c>
      <c r="K108" s="272"/>
      <c r="L108" s="272"/>
      <c r="M108" s="135">
        <f t="shared" si="71"/>
        <v>0</v>
      </c>
      <c r="N108" s="135"/>
      <c r="O108" s="135">
        <v>1623700</v>
      </c>
      <c r="P108" s="135">
        <f t="shared" si="72"/>
        <v>1623700</v>
      </c>
      <c r="Q108" s="284">
        <v>979218.95</v>
      </c>
      <c r="R108" s="285">
        <f>1741722-Q108</f>
        <v>762503.05</v>
      </c>
      <c r="S108" s="148">
        <f t="shared" si="76"/>
        <v>1741722</v>
      </c>
      <c r="T108" s="149">
        <f t="shared" si="66"/>
        <v>0.56221311437761012</v>
      </c>
      <c r="U108" s="224">
        <f t="shared" si="67"/>
        <v>118022</v>
      </c>
      <c r="V108" s="150">
        <f t="shared" si="68"/>
        <v>-118022</v>
      </c>
      <c r="W108" s="256">
        <f t="shared" si="77"/>
        <v>-7.2687072735111172E-2</v>
      </c>
      <c r="X108" s="184"/>
      <c r="Y108" s="185"/>
      <c r="Z108" s="186">
        <f>'[1]2021-22'!C669+SUM('[1]2021-22'!C683:C684)+'[1]2021-22'!C695+'[1]2021-22'!C727</f>
        <v>1757228.4800000002</v>
      </c>
      <c r="AA108" s="255">
        <f t="shared" si="80"/>
        <v>-133528.48000000021</v>
      </c>
      <c r="AB108" s="256">
        <f t="shared" si="81"/>
        <v>-7.598811510271003E-2</v>
      </c>
      <c r="AC108" s="185"/>
      <c r="AD108" s="186">
        <v>20266.169999999998</v>
      </c>
      <c r="AE108" s="255">
        <f t="shared" si="82"/>
        <v>1721455.83</v>
      </c>
      <c r="AF108" s="256">
        <f t="shared" si="83"/>
        <v>84.942336415810203</v>
      </c>
      <c r="AH108" s="186">
        <v>2101858.7800000003</v>
      </c>
      <c r="AI108" s="255">
        <f t="shared" si="84"/>
        <v>-360136.78000000026</v>
      </c>
      <c r="AJ108" s="256">
        <f t="shared" si="78"/>
        <v>-0.17134204420717561</v>
      </c>
    </row>
    <row r="109" spans="1:36" ht="13.35" hidden="1" customHeight="1" outlineLevel="1" x14ac:dyDescent="0.3">
      <c r="A109" s="305" t="s">
        <v>185</v>
      </c>
      <c r="B109" s="305" t="s">
        <v>79</v>
      </c>
      <c r="C109" s="314"/>
      <c r="D109" s="306"/>
      <c r="E109" s="307"/>
      <c r="F109" s="308"/>
      <c r="G109" s="309"/>
      <c r="H109" s="315"/>
      <c r="I109" s="243"/>
      <c r="J109" s="244">
        <f t="shared" si="70"/>
        <v>0</v>
      </c>
      <c r="K109" s="310"/>
      <c r="L109" s="310"/>
      <c r="M109" s="246">
        <f t="shared" si="71"/>
        <v>0</v>
      </c>
      <c r="N109" s="246"/>
      <c r="O109" s="246"/>
      <c r="P109" s="246">
        <f t="shared" si="72"/>
        <v>0</v>
      </c>
      <c r="Q109" s="311"/>
      <c r="R109" s="312"/>
      <c r="S109" s="267">
        <f t="shared" si="76"/>
        <v>0</v>
      </c>
      <c r="T109" s="268" t="str">
        <f t="shared" si="66"/>
        <v>-</v>
      </c>
      <c r="U109" s="250"/>
      <c r="V109" s="269">
        <f t="shared" si="68"/>
        <v>0</v>
      </c>
      <c r="W109" s="313" t="str">
        <f t="shared" si="77"/>
        <v>-</v>
      </c>
      <c r="X109" s="184"/>
      <c r="Y109" s="185"/>
      <c r="Z109" s="186"/>
      <c r="AA109" s="255"/>
      <c r="AB109" s="256"/>
      <c r="AC109" s="185"/>
      <c r="AD109" s="186"/>
      <c r="AE109" s="255"/>
      <c r="AF109" s="256"/>
      <c r="AH109" s="186"/>
      <c r="AI109" s="255"/>
      <c r="AJ109" s="256"/>
    </row>
    <row r="110" spans="1:36" ht="13.35" hidden="1" customHeight="1" outlineLevel="1" x14ac:dyDescent="0.3">
      <c r="A110" s="64" t="s">
        <v>186</v>
      </c>
      <c r="B110" s="64" t="s">
        <v>180</v>
      </c>
      <c r="C110" s="1"/>
      <c r="E110" s="202"/>
      <c r="F110" s="203"/>
      <c r="G110" s="204"/>
      <c r="H110" s="186">
        <v>491600</v>
      </c>
      <c r="I110" s="144">
        <v>491600</v>
      </c>
      <c r="J110" s="145">
        <f t="shared" si="70"/>
        <v>0</v>
      </c>
      <c r="K110" s="272"/>
      <c r="L110" s="272"/>
      <c r="M110" s="135">
        <f t="shared" si="71"/>
        <v>0</v>
      </c>
      <c r="N110" s="135"/>
      <c r="O110" s="135">
        <v>491600</v>
      </c>
      <c r="P110" s="135">
        <f t="shared" si="72"/>
        <v>491600</v>
      </c>
      <c r="Q110" s="284">
        <v>341073.97</v>
      </c>
      <c r="R110" s="285">
        <f>497302-Q110</f>
        <v>156228.03000000003</v>
      </c>
      <c r="S110" s="148">
        <f t="shared" si="76"/>
        <v>497302</v>
      </c>
      <c r="T110" s="149">
        <f t="shared" si="66"/>
        <v>0.68584878001697147</v>
      </c>
      <c r="U110" s="224">
        <f t="shared" si="67"/>
        <v>5702</v>
      </c>
      <c r="V110" s="150">
        <f t="shared" si="68"/>
        <v>-5702</v>
      </c>
      <c r="W110" s="256">
        <f t="shared" si="77"/>
        <v>-1.1598860862489829E-2</v>
      </c>
      <c r="X110" s="184"/>
      <c r="Y110" s="185"/>
      <c r="Z110" s="186">
        <f>'[1]2021-22'!C733</f>
        <v>430094.73</v>
      </c>
      <c r="AA110" s="255">
        <f t="shared" si="80"/>
        <v>61505.270000000019</v>
      </c>
      <c r="AB110" s="256">
        <f t="shared" si="81"/>
        <v>0.14300400751248457</v>
      </c>
      <c r="AC110" s="185"/>
      <c r="AD110" s="186">
        <v>2524.29</v>
      </c>
      <c r="AE110" s="255">
        <f t="shared" si="82"/>
        <v>494777.71</v>
      </c>
      <c r="AF110" s="256">
        <f t="shared" si="83"/>
        <v>196.00668306731794</v>
      </c>
      <c r="AH110" s="186">
        <v>420141.42000000004</v>
      </c>
      <c r="AI110" s="255">
        <f t="shared" si="84"/>
        <v>77160.579999999958</v>
      </c>
      <c r="AJ110" s="256">
        <f t="shared" si="78"/>
        <v>0.18365382779922043</v>
      </c>
    </row>
    <row r="111" spans="1:36" ht="13.35" hidden="1" customHeight="1" outlineLevel="1" x14ac:dyDescent="0.3">
      <c r="A111" s="305" t="s">
        <v>187</v>
      </c>
      <c r="B111" s="305" t="s">
        <v>79</v>
      </c>
      <c r="C111" s="314"/>
      <c r="D111" s="306"/>
      <c r="E111" s="307"/>
      <c r="F111" s="308"/>
      <c r="G111" s="309"/>
      <c r="H111" s="315">
        <v>69000</v>
      </c>
      <c r="I111" s="243">
        <v>69000</v>
      </c>
      <c r="J111" s="244">
        <f t="shared" si="70"/>
        <v>0</v>
      </c>
      <c r="K111" s="310"/>
      <c r="L111" s="310"/>
      <c r="M111" s="246">
        <f t="shared" si="71"/>
        <v>0</v>
      </c>
      <c r="N111" s="246"/>
      <c r="O111" s="246">
        <v>69000</v>
      </c>
      <c r="P111" s="246">
        <f t="shared" si="72"/>
        <v>69000</v>
      </c>
      <c r="Q111" s="311"/>
      <c r="R111" s="312"/>
      <c r="S111" s="267">
        <f t="shared" si="76"/>
        <v>0</v>
      </c>
      <c r="T111" s="268" t="str">
        <f t="shared" si="66"/>
        <v>-</v>
      </c>
      <c r="U111" s="250"/>
      <c r="V111" s="269">
        <f t="shared" si="68"/>
        <v>69000</v>
      </c>
      <c r="W111" s="313">
        <f t="shared" si="77"/>
        <v>1</v>
      </c>
      <c r="X111" s="184"/>
      <c r="Y111" s="185"/>
      <c r="Z111" s="186"/>
      <c r="AA111" s="255"/>
      <c r="AB111" s="256"/>
      <c r="AC111" s="185"/>
      <c r="AD111" s="186"/>
      <c r="AE111" s="255"/>
      <c r="AF111" s="256"/>
      <c r="AH111" s="186"/>
      <c r="AI111" s="255"/>
      <c r="AJ111" s="256"/>
    </row>
    <row r="112" spans="1:36" ht="13.35" hidden="1" customHeight="1" outlineLevel="1" x14ac:dyDescent="0.3">
      <c r="A112" s="64" t="s">
        <v>188</v>
      </c>
      <c r="B112" s="64" t="s">
        <v>189</v>
      </c>
      <c r="C112" s="1"/>
      <c r="E112" s="202"/>
      <c r="F112" s="203"/>
      <c r="G112" s="204"/>
      <c r="H112" s="143"/>
      <c r="I112" s="144"/>
      <c r="J112" s="145">
        <f t="shared" si="70"/>
        <v>0</v>
      </c>
      <c r="K112" s="272"/>
      <c r="L112" s="272"/>
      <c r="M112" s="135">
        <f t="shared" si="71"/>
        <v>0</v>
      </c>
      <c r="N112" s="135"/>
      <c r="O112" s="135"/>
      <c r="P112" s="135">
        <f t="shared" si="72"/>
        <v>0</v>
      </c>
      <c r="Q112" s="284">
        <f>3931.13+242828.97+8313.57+24.27</f>
        <v>255097.94</v>
      </c>
      <c r="R112" s="285">
        <f>P112-Q112</f>
        <v>-255097.94</v>
      </c>
      <c r="S112" s="148">
        <f t="shared" ref="S112" si="91">SUM(Q112:R112)</f>
        <v>0</v>
      </c>
      <c r="T112" s="149" t="str">
        <f t="shared" si="66"/>
        <v>-</v>
      </c>
      <c r="U112" s="224">
        <f t="shared" si="67"/>
        <v>0</v>
      </c>
      <c r="V112" s="150">
        <f t="shared" si="68"/>
        <v>0</v>
      </c>
      <c r="W112" s="256" t="str">
        <f t="shared" si="77"/>
        <v>-</v>
      </c>
      <c r="X112" s="184"/>
      <c r="Y112" s="185"/>
      <c r="Z112" s="186">
        <f>'[1]2021-22'!C737-'[1]2021-22'!C733+'[1]2021-22'!C748+'[1]2021-22'!C754+'[1]2021-22'!C759</f>
        <v>161091.31</v>
      </c>
      <c r="AA112" s="255">
        <f t="shared" si="80"/>
        <v>-161091.31</v>
      </c>
      <c r="AB112" s="256">
        <f t="shared" si="81"/>
        <v>-1</v>
      </c>
      <c r="AC112" s="185"/>
      <c r="AD112" s="186">
        <v>2558179.1799999997</v>
      </c>
      <c r="AE112" s="255">
        <f t="shared" si="82"/>
        <v>-2558179.1799999997</v>
      </c>
      <c r="AF112" s="256">
        <f t="shared" si="83"/>
        <v>-1</v>
      </c>
      <c r="AH112" s="186">
        <v>122971</v>
      </c>
      <c r="AI112" s="255">
        <f t="shared" si="84"/>
        <v>-122971</v>
      </c>
      <c r="AJ112" s="256">
        <f t="shared" si="78"/>
        <v>-1</v>
      </c>
    </row>
    <row r="113" spans="1:36" ht="13.35" customHeight="1" collapsed="1" x14ac:dyDescent="0.3">
      <c r="A113" s="316" t="s">
        <v>190</v>
      </c>
      <c r="B113" s="12"/>
      <c r="E113" s="258">
        <f>E84</f>
        <v>0</v>
      </c>
      <c r="F113" s="189">
        <f>F85</f>
        <v>187.91</v>
      </c>
      <c r="G113" s="190">
        <f>G84</f>
        <v>-187.85</v>
      </c>
      <c r="H113" s="193">
        <f t="shared" ref="H113:S113" si="92">SUM(H84:H112)</f>
        <v>25735100</v>
      </c>
      <c r="I113" s="193">
        <f t="shared" si="92"/>
        <v>25743100</v>
      </c>
      <c r="J113" s="193">
        <f t="shared" si="92"/>
        <v>8000</v>
      </c>
      <c r="K113" s="193">
        <f t="shared" si="92"/>
        <v>10102400</v>
      </c>
      <c r="L113" s="193">
        <f t="shared" si="92"/>
        <v>1700</v>
      </c>
      <c r="M113" s="193">
        <f t="shared" si="92"/>
        <v>10104100</v>
      </c>
      <c r="N113" s="193">
        <f t="shared" si="92"/>
        <v>15783900</v>
      </c>
      <c r="O113" s="194">
        <f t="shared" si="92"/>
        <v>1807662.9</v>
      </c>
      <c r="P113" s="193">
        <f t="shared" si="92"/>
        <v>27695662.899999999</v>
      </c>
      <c r="Q113" s="195">
        <f t="shared" si="92"/>
        <v>12333812.779999997</v>
      </c>
      <c r="R113" s="193">
        <f t="shared" si="92"/>
        <v>15635205.662792912</v>
      </c>
      <c r="S113" s="193">
        <f t="shared" si="92"/>
        <v>27969018.442792907</v>
      </c>
      <c r="T113" s="196">
        <f>IF(ISERR(Q113/S113),"-",Q113/S113)</f>
        <v>0.4409812523534658</v>
      </c>
      <c r="U113" s="260">
        <f>SUM(U84:U112)</f>
        <v>2294918.4427929074</v>
      </c>
      <c r="V113" s="197">
        <f>SUM(V84:V112)</f>
        <v>-273355.54279290745</v>
      </c>
      <c r="W113" s="198">
        <f t="shared" si="77"/>
        <v>-9.8699765295347918E-3</v>
      </c>
      <c r="X113" s="199"/>
      <c r="Y113" s="185"/>
      <c r="Z113" s="200">
        <f>SUM(Z84:Z112)</f>
        <v>22059894.790000003</v>
      </c>
      <c r="AA113" s="195">
        <f>SUM(AA84:AA112)</f>
        <v>-17983931.890000001</v>
      </c>
      <c r="AB113" s="198">
        <f t="shared" si="81"/>
        <v>-0.81523198823923304</v>
      </c>
      <c r="AC113" s="185"/>
      <c r="AD113" s="200">
        <f>SUM(AD84:AD112)</f>
        <v>23307340.439999998</v>
      </c>
      <c r="AE113" s="195">
        <f>SUM(AE84:AE112)</f>
        <v>4661678.0027929097</v>
      </c>
      <c r="AF113" s="198">
        <f t="shared" si="83"/>
        <v>0.20000900638120642</v>
      </c>
      <c r="AH113" s="200">
        <v>23188843.079999998</v>
      </c>
      <c r="AI113" s="261">
        <f>SUM(AI84:AI112)</f>
        <v>4780175.3627929073</v>
      </c>
      <c r="AJ113" s="198">
        <f t="shared" si="78"/>
        <v>0.20614117514623795</v>
      </c>
    </row>
    <row r="114" spans="1:36" ht="13.35" customHeight="1" x14ac:dyDescent="0.3">
      <c r="A114" s="12"/>
      <c r="B114" s="12"/>
      <c r="E114" s="202"/>
      <c r="F114" s="203"/>
      <c r="G114" s="204"/>
      <c r="H114" s="202"/>
      <c r="I114" s="220"/>
      <c r="J114" s="220"/>
      <c r="K114" s="220"/>
      <c r="L114" s="220"/>
      <c r="M114" s="220"/>
      <c r="N114" s="220"/>
      <c r="O114" s="220"/>
      <c r="P114" s="220"/>
      <c r="Q114" s="221"/>
      <c r="R114" s="220"/>
      <c r="S114" s="220"/>
      <c r="T114" s="220"/>
      <c r="U114" s="222"/>
      <c r="V114" s="217"/>
      <c r="W114" s="218"/>
      <c r="X114" s="184"/>
      <c r="Y114" s="185"/>
      <c r="Z114" s="109"/>
      <c r="AA114" s="114"/>
      <c r="AB114" s="115"/>
      <c r="AC114" s="185"/>
      <c r="AD114" s="109"/>
      <c r="AE114" s="114"/>
      <c r="AF114" s="115"/>
      <c r="AH114" s="109"/>
      <c r="AI114" s="114"/>
      <c r="AJ114" s="115"/>
    </row>
    <row r="115" spans="1:36" ht="13.35" customHeight="1" x14ac:dyDescent="0.3">
      <c r="A115" s="12"/>
      <c r="B115" s="12"/>
      <c r="E115" s="202"/>
      <c r="F115" s="203"/>
      <c r="G115" s="204"/>
      <c r="H115" s="317"/>
      <c r="I115" s="220"/>
      <c r="J115" s="220"/>
      <c r="K115" s="220"/>
      <c r="L115" s="220"/>
      <c r="M115" s="220"/>
      <c r="N115" s="220"/>
      <c r="O115" s="220"/>
      <c r="P115" s="220"/>
      <c r="Q115" s="221"/>
      <c r="R115" s="220"/>
      <c r="S115" s="220"/>
      <c r="T115" s="220"/>
      <c r="U115" s="222"/>
      <c r="V115" s="217"/>
      <c r="W115" s="318"/>
      <c r="X115" s="217"/>
      <c r="Y115" s="319"/>
      <c r="Z115" s="109"/>
      <c r="AA115" s="114"/>
      <c r="AB115" s="115"/>
      <c r="AC115" s="319"/>
      <c r="AD115" s="109"/>
      <c r="AE115" s="114"/>
      <c r="AF115" s="115"/>
      <c r="AH115" s="109"/>
      <c r="AI115" s="114"/>
      <c r="AJ115" s="115"/>
    </row>
    <row r="116" spans="1:36" ht="13.35" hidden="1" customHeight="1" outlineLevel="1" x14ac:dyDescent="0.3">
      <c r="A116" s="116" t="s">
        <v>191</v>
      </c>
      <c r="B116" s="12"/>
      <c r="E116" s="202"/>
      <c r="F116" s="203"/>
      <c r="G116" s="204"/>
      <c r="H116" s="202"/>
      <c r="I116" s="220"/>
      <c r="J116" s="220"/>
      <c r="K116" s="220"/>
      <c r="L116" s="220"/>
      <c r="M116" s="220"/>
      <c r="N116" s="220"/>
      <c r="O116" s="220"/>
      <c r="P116" s="220"/>
      <c r="Q116" s="221"/>
      <c r="R116" s="220"/>
      <c r="S116" s="220"/>
      <c r="T116" s="220"/>
      <c r="U116" s="222"/>
      <c r="V116" s="217"/>
      <c r="W116" s="218"/>
      <c r="X116" s="184"/>
      <c r="Y116" s="185"/>
      <c r="Z116" s="109"/>
      <c r="AA116" s="114"/>
      <c r="AB116" s="115"/>
      <c r="AC116" s="185"/>
      <c r="AD116" s="109"/>
      <c r="AE116" s="114"/>
      <c r="AF116" s="115"/>
      <c r="AH116" s="109"/>
      <c r="AI116" s="114"/>
      <c r="AJ116" s="115"/>
    </row>
    <row r="117" spans="1:36" ht="13.35" hidden="1" customHeight="1" outlineLevel="1" x14ac:dyDescent="0.3">
      <c r="A117" s="64" t="s">
        <v>192</v>
      </c>
      <c r="B117" s="64" t="s">
        <v>193</v>
      </c>
      <c r="D117" s="118" t="s">
        <v>49</v>
      </c>
      <c r="E117" s="119"/>
      <c r="F117" s="203">
        <v>257</v>
      </c>
      <c r="G117" s="121">
        <f t="shared" ref="G117:G118" si="93">E117-F117</f>
        <v>-257</v>
      </c>
      <c r="H117" s="265">
        <f>7515800+26800</f>
        <v>7542600</v>
      </c>
      <c r="I117" s="123">
        <v>7542600</v>
      </c>
      <c r="J117" s="134">
        <f>I117-H117</f>
        <v>0</v>
      </c>
      <c r="K117" s="271">
        <f>2339100+766900</f>
        <v>3106000</v>
      </c>
      <c r="L117" s="271"/>
      <c r="M117" s="123">
        <f>K117+L117</f>
        <v>3106000</v>
      </c>
      <c r="N117" s="123">
        <f>2300800+2109000</f>
        <v>4409800</v>
      </c>
      <c r="O117" s="291">
        <f>26800+1334972</f>
        <v>1361772</v>
      </c>
      <c r="P117" s="123">
        <f>M117+N117+O117</f>
        <v>8877572</v>
      </c>
      <c r="Q117" s="206">
        <v>4400023.0999999996</v>
      </c>
      <c r="R117" s="205">
        <f>'[1]Bus Drivers'!I18-'[1]Operating Results'!Q117</f>
        <v>4259692.9399999995</v>
      </c>
      <c r="S117" s="275">
        <f>SUM(Q117:R117)</f>
        <v>8659716.0399999991</v>
      </c>
      <c r="T117" s="149">
        <f t="shared" ref="T117:T126" si="94">IF(ISERR(Q117/S117),"-",Q117/S117)</f>
        <v>0.50810246891190214</v>
      </c>
      <c r="U117" s="224">
        <f t="shared" ref="U117:U125" si="95">S117-I117</f>
        <v>1117116.0399999991</v>
      </c>
      <c r="V117" s="294">
        <f t="shared" ref="V117:V125" si="96">P117-S117</f>
        <v>217855.96000000089</v>
      </c>
      <c r="W117" s="256">
        <f>IF(ISERR(V117/P117),"-",V117/P117)</f>
        <v>2.4540038650207614E-2</v>
      </c>
      <c r="X117" s="184"/>
      <c r="Y117" s="185"/>
      <c r="Z117" s="131">
        <f>'[1]2021-22'!C762</f>
        <v>5867089.8700000001</v>
      </c>
      <c r="AA117" s="283">
        <f>O117-Z117</f>
        <v>-4505317.87</v>
      </c>
      <c r="AB117" s="256">
        <f>IF(ISERR(AA117/Z117),"-",AA117/Z117)</f>
        <v>-0.7678965159604757</v>
      </c>
      <c r="AC117" s="185"/>
      <c r="AD117" s="131">
        <v>6584693.5</v>
      </c>
      <c r="AE117" s="283">
        <f>S117-AD117</f>
        <v>2075022.5399999991</v>
      </c>
      <c r="AF117" s="256">
        <f>IF(ISERR(AE117/AD117),"-",AE117/AD117)</f>
        <v>0.31512818933789388</v>
      </c>
      <c r="AH117" s="131">
        <v>6530702.9100000001</v>
      </c>
      <c r="AI117" s="283">
        <f>S117-AH117</f>
        <v>2129013.129999999</v>
      </c>
      <c r="AJ117" s="256">
        <f t="shared" ref="AJ117" si="97">IF(ISERR(AI117/AH117),"-",AI117/AH117)</f>
        <v>0.32600060963422373</v>
      </c>
    </row>
    <row r="118" spans="1:36" ht="13.35" hidden="1" customHeight="1" outlineLevel="1" x14ac:dyDescent="0.3">
      <c r="A118" s="64"/>
      <c r="B118" s="64"/>
      <c r="D118" s="118" t="s">
        <v>50</v>
      </c>
      <c r="E118" s="119"/>
      <c r="F118" s="203">
        <f>F117</f>
        <v>257</v>
      </c>
      <c r="G118" s="121">
        <f t="shared" si="93"/>
        <v>-257</v>
      </c>
      <c r="H118" s="265"/>
      <c r="I118" s="123"/>
      <c r="J118" s="134"/>
      <c r="K118" s="271"/>
      <c r="L118" s="271"/>
      <c r="M118" s="123"/>
      <c r="N118" s="123"/>
      <c r="O118" s="123"/>
      <c r="P118" s="135"/>
      <c r="Q118" s="206"/>
      <c r="R118" s="205"/>
      <c r="S118" s="275"/>
      <c r="T118" s="149"/>
      <c r="U118" s="224"/>
      <c r="V118" s="294"/>
      <c r="W118" s="256"/>
      <c r="X118" s="184"/>
      <c r="Y118" s="185"/>
      <c r="Z118" s="137"/>
      <c r="AA118" s="283"/>
      <c r="AB118" s="256"/>
      <c r="AC118" s="185"/>
      <c r="AD118" s="137"/>
      <c r="AE118" s="283"/>
      <c r="AF118" s="256"/>
      <c r="AH118" s="137"/>
      <c r="AI118" s="283"/>
      <c r="AJ118" s="256"/>
    </row>
    <row r="119" spans="1:36" ht="13.35" hidden="1" customHeight="1" outlineLevel="1" x14ac:dyDescent="0.3">
      <c r="A119" s="64" t="s">
        <v>194</v>
      </c>
      <c r="B119" s="117" t="s">
        <v>144</v>
      </c>
      <c r="D119" s="118"/>
      <c r="E119" s="202"/>
      <c r="F119" s="203"/>
      <c r="G119" s="257"/>
      <c r="H119" s="143"/>
      <c r="I119" s="144"/>
      <c r="J119" s="145">
        <f>I119-H119</f>
        <v>0</v>
      </c>
      <c r="K119" s="271"/>
      <c r="L119" s="271"/>
      <c r="M119" s="135">
        <f>K119+L119</f>
        <v>0</v>
      </c>
      <c r="N119" s="135"/>
      <c r="O119" s="135"/>
      <c r="P119" s="135">
        <f>M119+N119+O119</f>
        <v>0</v>
      </c>
      <c r="Q119" s="206">
        <v>54056.68</v>
      </c>
      <c r="R119" s="205">
        <f>'[1]Bus Drivers'!I61-'[1]Operating Results'!Q119</f>
        <v>61555.38</v>
      </c>
      <c r="S119" s="148">
        <f>SUM(Q119:R119)</f>
        <v>115612.06</v>
      </c>
      <c r="T119" s="149">
        <f t="shared" si="94"/>
        <v>0.4675695597846799</v>
      </c>
      <c r="U119" s="224">
        <f t="shared" si="95"/>
        <v>115612.06</v>
      </c>
      <c r="V119" s="225">
        <f t="shared" si="96"/>
        <v>-115612.06</v>
      </c>
      <c r="W119" s="320" t="str">
        <f t="shared" ref="W119:W126" si="98">IF(ISERR(V119/P119),"-",V119/P119)</f>
        <v>-</v>
      </c>
      <c r="X119" s="184"/>
      <c r="Y119" s="185"/>
      <c r="Z119" s="186">
        <f>'[1]2021-22'!C763</f>
        <v>114544.3</v>
      </c>
      <c r="AA119" s="228">
        <f>O119-Z119</f>
        <v>-114544.3</v>
      </c>
      <c r="AB119" s="128">
        <f>IF(ISERR(AA119/Z119),"-",AA119/Z119)</f>
        <v>-1</v>
      </c>
      <c r="AC119" s="185"/>
      <c r="AD119" s="186">
        <v>97369.34</v>
      </c>
      <c r="AE119" s="228">
        <f>S119-AD119</f>
        <v>18242.72</v>
      </c>
      <c r="AF119" s="128">
        <f>IF(ISERR(AE119/AD119),"-",AE119/AD119)</f>
        <v>0.18735589663029453</v>
      </c>
      <c r="AH119" s="186">
        <v>108762.18</v>
      </c>
      <c r="AI119" s="228">
        <f>S119-AH119</f>
        <v>6849.8800000000047</v>
      </c>
      <c r="AJ119" s="128">
        <f t="shared" ref="AJ119:AJ126" si="99">IF(ISERR(AI119/AH119),"-",AI119/AH119)</f>
        <v>6.2980348499818636E-2</v>
      </c>
    </row>
    <row r="120" spans="1:36" ht="13.35" hidden="1" customHeight="1" outlineLevel="1" x14ac:dyDescent="0.3">
      <c r="A120" s="117" t="s">
        <v>195</v>
      </c>
      <c r="B120" s="117" t="s">
        <v>148</v>
      </c>
      <c r="D120" s="118"/>
      <c r="E120" s="202"/>
      <c r="F120" s="203"/>
      <c r="G120" s="257"/>
      <c r="H120" s="143"/>
      <c r="I120" s="144"/>
      <c r="J120" s="145">
        <f t="shared" ref="J120:J125" si="100">I120-H120</f>
        <v>0</v>
      </c>
      <c r="K120" s="271"/>
      <c r="L120" s="272"/>
      <c r="M120" s="135">
        <f t="shared" ref="M120:M125" si="101">K120+L120</f>
        <v>0</v>
      </c>
      <c r="N120" s="135"/>
      <c r="O120" s="135"/>
      <c r="P120" s="135">
        <f t="shared" ref="P120:P125" si="102">M120+N120+O120</f>
        <v>0</v>
      </c>
      <c r="Q120" s="206"/>
      <c r="R120" s="205"/>
      <c r="S120" s="148">
        <f t="shared" ref="S120:S125" si="103">SUM(Q120:R120)</f>
        <v>0</v>
      </c>
      <c r="T120" s="149" t="str">
        <f t="shared" si="94"/>
        <v>-</v>
      </c>
      <c r="U120" s="224">
        <f t="shared" si="95"/>
        <v>0</v>
      </c>
      <c r="V120" s="225">
        <f t="shared" si="96"/>
        <v>0</v>
      </c>
      <c r="W120" s="320" t="str">
        <f t="shared" si="98"/>
        <v>-</v>
      </c>
      <c r="X120" s="184"/>
      <c r="Y120" s="185"/>
      <c r="Z120" s="137">
        <v>0</v>
      </c>
      <c r="AA120" s="228">
        <f>O120-Z120</f>
        <v>0</v>
      </c>
      <c r="AB120" s="128" t="str">
        <f>IF(ISERR(AA120/Z120),"-",AA120/Z120)</f>
        <v>-</v>
      </c>
      <c r="AC120" s="185"/>
      <c r="AD120" s="137">
        <v>10478.870000000001</v>
      </c>
      <c r="AE120" s="228">
        <f>S120-AD120</f>
        <v>-10478.870000000001</v>
      </c>
      <c r="AF120" s="128">
        <f>IF(ISERR(AE120/AD120),"-",AE120/AD120)</f>
        <v>-1</v>
      </c>
      <c r="AH120" s="137">
        <v>0</v>
      </c>
      <c r="AI120" s="228">
        <f>S120-AH120</f>
        <v>0</v>
      </c>
      <c r="AJ120" s="128" t="str">
        <f t="shared" si="99"/>
        <v>-</v>
      </c>
    </row>
    <row r="121" spans="1:36" ht="13.35" hidden="1" customHeight="1" outlineLevel="1" x14ac:dyDescent="0.3">
      <c r="A121" s="64" t="s">
        <v>196</v>
      </c>
      <c r="B121" s="64" t="s">
        <v>197</v>
      </c>
      <c r="E121" s="202"/>
      <c r="F121" s="203"/>
      <c r="G121" s="204"/>
      <c r="H121" s="186">
        <v>414100</v>
      </c>
      <c r="I121" s="144">
        <v>414100</v>
      </c>
      <c r="J121" s="145">
        <f t="shared" si="100"/>
        <v>0</v>
      </c>
      <c r="K121" s="272">
        <f>100900+39500</f>
        <v>140400</v>
      </c>
      <c r="L121" s="272"/>
      <c r="M121" s="135">
        <f t="shared" si="101"/>
        <v>140400</v>
      </c>
      <c r="N121" s="135">
        <f>121300+152400</f>
        <v>273700</v>
      </c>
      <c r="O121" s="298">
        <v>120761</v>
      </c>
      <c r="P121" s="135">
        <f t="shared" si="102"/>
        <v>534861</v>
      </c>
      <c r="Q121" s="284">
        <v>560285.55000000005</v>
      </c>
      <c r="R121" s="285">
        <f>'[1]Bus Drivers'!I83-'[1]Operating Results'!Q121</f>
        <v>621514.07000000007</v>
      </c>
      <c r="S121" s="148">
        <f t="shared" si="103"/>
        <v>1181799.6200000001</v>
      </c>
      <c r="T121" s="149">
        <f t="shared" si="94"/>
        <v>0.47409521928937498</v>
      </c>
      <c r="U121" s="224">
        <f t="shared" si="95"/>
        <v>767699.62000000011</v>
      </c>
      <c r="V121" s="225">
        <f t="shared" si="96"/>
        <v>-646938.62000000011</v>
      </c>
      <c r="W121" s="320">
        <f t="shared" si="98"/>
        <v>-1.2095453211208147</v>
      </c>
      <c r="X121" s="175"/>
      <c r="Y121" s="176"/>
      <c r="Z121" s="186">
        <f>'[1]2021-22'!C764</f>
        <v>940858.08</v>
      </c>
      <c r="AA121" s="228">
        <f>O121-Z121</f>
        <v>-820097.08</v>
      </c>
      <c r="AB121" s="128">
        <f>IF(ISERR(AA121/Z121),"-",AA121/Z121)</f>
        <v>-0.87164801730777508</v>
      </c>
      <c r="AC121" s="176"/>
      <c r="AD121" s="186">
        <v>690877.07</v>
      </c>
      <c r="AE121" s="228">
        <f>S121-AD121</f>
        <v>490922.55000000016</v>
      </c>
      <c r="AF121" s="128">
        <f>IF(ISERR(AE121/AD121),"-",AE121/AD121)</f>
        <v>0.71057872857178517</v>
      </c>
      <c r="AH121" s="186">
        <v>665339.5</v>
      </c>
      <c r="AI121" s="228">
        <f>S121-AH121</f>
        <v>516460.12000000011</v>
      </c>
      <c r="AJ121" s="128">
        <f t="shared" si="99"/>
        <v>0.77623547076342247</v>
      </c>
    </row>
    <row r="122" spans="1:36" ht="13.35" hidden="1" customHeight="1" outlineLevel="1" x14ac:dyDescent="0.3">
      <c r="A122" s="321" t="s">
        <v>196</v>
      </c>
      <c r="B122" s="321" t="s">
        <v>198</v>
      </c>
      <c r="C122" s="162"/>
      <c r="D122" s="162"/>
      <c r="E122" s="322"/>
      <c r="F122" s="323"/>
      <c r="G122" s="324"/>
      <c r="H122" s="325"/>
      <c r="I122" s="160"/>
      <c r="J122" s="161">
        <f t="shared" si="100"/>
        <v>0</v>
      </c>
      <c r="K122" s="326"/>
      <c r="L122" s="326"/>
      <c r="M122" s="163">
        <f t="shared" si="101"/>
        <v>0</v>
      </c>
      <c r="N122" s="163"/>
      <c r="O122" s="163"/>
      <c r="P122" s="163">
        <f t="shared" si="102"/>
        <v>0</v>
      </c>
      <c r="Q122" s="327"/>
      <c r="R122" s="328"/>
      <c r="S122" s="166">
        <f t="shared" si="103"/>
        <v>0</v>
      </c>
      <c r="T122" s="167" t="str">
        <f t="shared" si="94"/>
        <v>-</v>
      </c>
      <c r="U122" s="235">
        <f t="shared" si="95"/>
        <v>0</v>
      </c>
      <c r="V122" s="236">
        <f t="shared" si="96"/>
        <v>0</v>
      </c>
      <c r="W122" s="329" t="str">
        <f t="shared" si="98"/>
        <v>-</v>
      </c>
      <c r="X122" s="175"/>
      <c r="Y122" s="176"/>
      <c r="Z122" s="186"/>
      <c r="AA122" s="228"/>
      <c r="AB122" s="128"/>
      <c r="AC122" s="176"/>
      <c r="AD122" s="186"/>
      <c r="AE122" s="228"/>
      <c r="AF122" s="128"/>
      <c r="AH122" s="186"/>
      <c r="AI122" s="228"/>
      <c r="AJ122" s="128"/>
    </row>
    <row r="123" spans="1:36" ht="13.35" hidden="1" customHeight="1" outlineLevel="1" x14ac:dyDescent="0.3">
      <c r="A123" s="64" t="s">
        <v>199</v>
      </c>
      <c r="B123" s="64" t="s">
        <v>200</v>
      </c>
      <c r="E123" s="202"/>
      <c r="F123" s="203"/>
      <c r="G123" s="204"/>
      <c r="H123" s="186">
        <v>61800</v>
      </c>
      <c r="I123" s="144">
        <v>61800</v>
      </c>
      <c r="J123" s="145">
        <f t="shared" si="100"/>
        <v>0</v>
      </c>
      <c r="K123" s="272">
        <f>18500+6200</f>
        <v>24700</v>
      </c>
      <c r="L123" s="272"/>
      <c r="M123" s="135">
        <f t="shared" si="101"/>
        <v>24700</v>
      </c>
      <c r="N123" s="135">
        <f>18500+18600</f>
        <v>37100</v>
      </c>
      <c r="O123" s="135"/>
      <c r="P123" s="135">
        <f t="shared" si="102"/>
        <v>61800</v>
      </c>
      <c r="Q123" s="284">
        <v>20856.28</v>
      </c>
      <c r="R123" s="285">
        <f>51751-Q123</f>
        <v>30894.720000000001</v>
      </c>
      <c r="S123" s="148">
        <f t="shared" si="103"/>
        <v>51751</v>
      </c>
      <c r="T123" s="149">
        <f t="shared" si="94"/>
        <v>0.40301211570790901</v>
      </c>
      <c r="U123" s="224">
        <f t="shared" si="95"/>
        <v>-10049</v>
      </c>
      <c r="V123" s="225">
        <f t="shared" si="96"/>
        <v>10049</v>
      </c>
      <c r="W123" s="320">
        <f t="shared" si="98"/>
        <v>0.1626051779935275</v>
      </c>
      <c r="X123" s="184"/>
      <c r="Y123" s="185"/>
      <c r="Z123" s="186">
        <f>SUM('[1]2021-22'!C770:C771)</f>
        <v>44631.44</v>
      </c>
      <c r="AA123" s="228">
        <f>O123-Z123</f>
        <v>-44631.44</v>
      </c>
      <c r="AB123" s="128">
        <f>IF(ISERR(AA123/Z123),"-",AA123/Z123)</f>
        <v>-1</v>
      </c>
      <c r="AC123" s="185"/>
      <c r="AD123" s="186">
        <v>59031.1</v>
      </c>
      <c r="AE123" s="228">
        <f>S123-AD123</f>
        <v>-7280.0999999999985</v>
      </c>
      <c r="AF123" s="128">
        <f>IF(ISERR(AE123/AD123),"-",AE123/AD123)</f>
        <v>-0.12332651771693225</v>
      </c>
      <c r="AH123" s="186">
        <v>64959.88</v>
      </c>
      <c r="AI123" s="228">
        <f>S123-AH123</f>
        <v>-13208.879999999997</v>
      </c>
      <c r="AJ123" s="128">
        <f t="shared" si="99"/>
        <v>-0.20333904557705459</v>
      </c>
    </row>
    <row r="124" spans="1:36" s="117" customFormat="1" ht="13.35" hidden="1" customHeight="1" outlineLevel="1" x14ac:dyDescent="0.2">
      <c r="A124" s="117" t="s">
        <v>201</v>
      </c>
      <c r="B124" s="117" t="s">
        <v>202</v>
      </c>
      <c r="E124" s="330"/>
      <c r="F124" s="331"/>
      <c r="G124" s="332"/>
      <c r="H124" s="143">
        <v>6112500</v>
      </c>
      <c r="I124" s="144">
        <v>6112500</v>
      </c>
      <c r="J124" s="145">
        <f t="shared" si="100"/>
        <v>0</v>
      </c>
      <c r="K124" s="333">
        <f>1803700+601200</f>
        <v>2404900</v>
      </c>
      <c r="L124" s="333"/>
      <c r="M124" s="135">
        <f t="shared" si="101"/>
        <v>2404900</v>
      </c>
      <c r="N124" s="135">
        <f>1903900+1803700</f>
        <v>3707600</v>
      </c>
      <c r="O124" s="304">
        <f>-111200+761000</f>
        <v>649800</v>
      </c>
      <c r="P124" s="135">
        <f t="shared" si="102"/>
        <v>6762300</v>
      </c>
      <c r="Q124" s="334">
        <v>2363187.0299999998</v>
      </c>
      <c r="R124" s="335">
        <f>'[1]Bus Ops'!O39-'[1]Operating Results'!Q124</f>
        <v>4398553.7860000003</v>
      </c>
      <c r="S124" s="148">
        <f t="shared" si="103"/>
        <v>6761740.8159999996</v>
      </c>
      <c r="T124" s="149">
        <f t="shared" si="94"/>
        <v>0.34949387950630967</v>
      </c>
      <c r="U124" s="224">
        <f t="shared" si="95"/>
        <v>649240.81599999964</v>
      </c>
      <c r="V124" s="225">
        <f t="shared" si="96"/>
        <v>559.18400000035763</v>
      </c>
      <c r="W124" s="320">
        <f t="shared" si="98"/>
        <v>8.2691391982070837E-5</v>
      </c>
      <c r="X124" s="175"/>
      <c r="Y124" s="176"/>
      <c r="Z124" s="143">
        <f>'[1]2021-22'!C774</f>
        <v>5189074.3499999996</v>
      </c>
      <c r="AA124" s="228">
        <f>O124-Z124</f>
        <v>-4539274.3499999996</v>
      </c>
      <c r="AB124" s="128">
        <f>IF(ISERR(AA124/Z124),"-",AA124/Z124)</f>
        <v>-0.8747753537198788</v>
      </c>
      <c r="AC124" s="176"/>
      <c r="AD124" s="143">
        <v>5337755.04</v>
      </c>
      <c r="AE124" s="228">
        <f>S124-AD124</f>
        <v>1423985.7759999996</v>
      </c>
      <c r="AF124" s="128">
        <f>IF(ISERR(AE124/AD124),"-",AE124/AD124)</f>
        <v>0.26677615689160578</v>
      </c>
      <c r="AH124" s="143">
        <v>5532383.8899999997</v>
      </c>
      <c r="AI124" s="228">
        <f>S124-AH124</f>
        <v>1229356.926</v>
      </c>
      <c r="AJ124" s="128">
        <f t="shared" si="99"/>
        <v>0.22221106677396532</v>
      </c>
    </row>
    <row r="125" spans="1:36" s="117" customFormat="1" ht="13.35" hidden="1" customHeight="1" outlineLevel="1" x14ac:dyDescent="0.2">
      <c r="A125" s="117" t="s">
        <v>203</v>
      </c>
      <c r="B125" s="117" t="s">
        <v>70</v>
      </c>
      <c r="E125" s="330"/>
      <c r="F125" s="331"/>
      <c r="G125" s="332"/>
      <c r="H125" s="143"/>
      <c r="I125" s="144"/>
      <c r="J125" s="145">
        <f t="shared" si="100"/>
        <v>0</v>
      </c>
      <c r="K125" s="333">
        <v>22400</v>
      </c>
      <c r="L125" s="333"/>
      <c r="M125" s="135">
        <f t="shared" si="101"/>
        <v>22400</v>
      </c>
      <c r="N125" s="135">
        <f>30000+51500</f>
        <v>81500</v>
      </c>
      <c r="O125" s="135">
        <f>-103900+111200</f>
        <v>7300</v>
      </c>
      <c r="P125" s="135">
        <f t="shared" si="102"/>
        <v>111200</v>
      </c>
      <c r="Q125" s="334">
        <v>84192.639999999999</v>
      </c>
      <c r="R125" s="335">
        <f>111200+30000-Q125</f>
        <v>57007.360000000001</v>
      </c>
      <c r="S125" s="148">
        <f t="shared" si="103"/>
        <v>141200</v>
      </c>
      <c r="T125" s="149">
        <f t="shared" si="94"/>
        <v>0.59626515580736539</v>
      </c>
      <c r="U125" s="224">
        <f t="shared" si="95"/>
        <v>141200</v>
      </c>
      <c r="V125" s="225">
        <f t="shared" si="96"/>
        <v>-30000</v>
      </c>
      <c r="W125" s="320">
        <f t="shared" si="98"/>
        <v>-0.26978417266187049</v>
      </c>
      <c r="X125" s="336"/>
      <c r="Y125" s="176"/>
      <c r="Z125" s="143">
        <f>SUM('[1]2021-22'!C765:C769)+SUM('[1]2021-22'!C772:C773)+SUM('[1]2021-22'!C775:C795)</f>
        <v>171135.62</v>
      </c>
      <c r="AA125" s="228">
        <f>O125-Z125</f>
        <v>-163835.62</v>
      </c>
      <c r="AB125" s="128">
        <f>IF(ISERR(AA125/Z125),"-",AA125/Z125)</f>
        <v>-0.95734377214983069</v>
      </c>
      <c r="AC125" s="176"/>
      <c r="AD125" s="143">
        <v>66721.549999999988</v>
      </c>
      <c r="AE125" s="228">
        <f>S125-AD125</f>
        <v>74478.450000000012</v>
      </c>
      <c r="AF125" s="128">
        <f>IF(ISERR(AE125/AD125),"-",AE125/AD125)</f>
        <v>1.1162577907737459</v>
      </c>
      <c r="AH125" s="143">
        <v>70454.89</v>
      </c>
      <c r="AI125" s="228">
        <f>S125-AH125</f>
        <v>70745.11</v>
      </c>
      <c r="AJ125" s="128">
        <f t="shared" si="99"/>
        <v>1.0041192314685325</v>
      </c>
    </row>
    <row r="126" spans="1:36" ht="13.35" customHeight="1" collapsed="1" x14ac:dyDescent="0.3">
      <c r="A126" s="1" t="s">
        <v>204</v>
      </c>
      <c r="B126" s="12"/>
      <c r="E126" s="258">
        <f>E118</f>
        <v>0</v>
      </c>
      <c r="F126" s="189">
        <f>F118</f>
        <v>257</v>
      </c>
      <c r="G126" s="190">
        <f>G118</f>
        <v>-257</v>
      </c>
      <c r="H126" s="193">
        <f t="shared" ref="H126:S126" si="104">SUM(H117:H125)</f>
        <v>14131000</v>
      </c>
      <c r="I126" s="193">
        <f t="shared" si="104"/>
        <v>14131000</v>
      </c>
      <c r="J126" s="259">
        <f t="shared" si="104"/>
        <v>0</v>
      </c>
      <c r="K126" s="193">
        <f t="shared" si="104"/>
        <v>5698400</v>
      </c>
      <c r="L126" s="193">
        <f t="shared" si="104"/>
        <v>0</v>
      </c>
      <c r="M126" s="193">
        <f t="shared" si="104"/>
        <v>5698400</v>
      </c>
      <c r="N126" s="193">
        <f t="shared" si="104"/>
        <v>8509700</v>
      </c>
      <c r="O126" s="194">
        <f t="shared" si="104"/>
        <v>2139633</v>
      </c>
      <c r="P126" s="193">
        <f t="shared" si="104"/>
        <v>16347733</v>
      </c>
      <c r="Q126" s="195">
        <f t="shared" si="104"/>
        <v>7482601.2799999984</v>
      </c>
      <c r="R126" s="193">
        <f t="shared" si="104"/>
        <v>9429218.2559999991</v>
      </c>
      <c r="S126" s="193">
        <f t="shared" si="104"/>
        <v>16911819.535999998</v>
      </c>
      <c r="T126" s="196">
        <f t="shared" si="94"/>
        <v>0.44244803251784171</v>
      </c>
      <c r="U126" s="260">
        <f>SUM(U117:U125)</f>
        <v>2780819.5359999989</v>
      </c>
      <c r="V126" s="197">
        <f>SUM(V117:V125)</f>
        <v>-564086.53599999892</v>
      </c>
      <c r="W126" s="198">
        <f t="shared" si="98"/>
        <v>-3.4505489904930485E-2</v>
      </c>
      <c r="X126" s="199"/>
      <c r="Y126" s="185"/>
      <c r="Z126" s="200">
        <f>SUM(Z117:Z125)</f>
        <v>12327333.659999998</v>
      </c>
      <c r="AA126" s="261">
        <f>SUM(AA117:AA125)</f>
        <v>-10187700.659999998</v>
      </c>
      <c r="AB126" s="198">
        <f>IF(ISERR(AA126/Z126),"-",AA126/Z126)</f>
        <v>-0.82643180926117643</v>
      </c>
      <c r="AC126" s="185"/>
      <c r="AD126" s="200">
        <f>SUM(AD117:AD125)</f>
        <v>12846926.470000001</v>
      </c>
      <c r="AE126" s="261">
        <f>SUM(AE117:AE125)</f>
        <v>4064893.0659999987</v>
      </c>
      <c r="AF126" s="198">
        <f>IF(ISERR(AE126/AD126),"-",AE126/AD126)</f>
        <v>0.31640977127815684</v>
      </c>
      <c r="AH126" s="200">
        <v>12972603.25</v>
      </c>
      <c r="AI126" s="261">
        <f>SUM(AI117:AI125)</f>
        <v>3939216.2859999989</v>
      </c>
      <c r="AJ126" s="198">
        <f t="shared" si="99"/>
        <v>0.30365657610009761</v>
      </c>
    </row>
    <row r="127" spans="1:36" ht="13.35" customHeight="1" x14ac:dyDescent="0.3">
      <c r="A127" s="12"/>
      <c r="B127" s="12"/>
      <c r="E127" s="202"/>
      <c r="F127" s="203"/>
      <c r="G127" s="204"/>
      <c r="H127" s="202"/>
      <c r="I127" s="220"/>
      <c r="J127" s="220"/>
      <c r="K127" s="220"/>
      <c r="L127" s="220"/>
      <c r="M127" s="220"/>
      <c r="N127" s="220"/>
      <c r="O127" s="220"/>
      <c r="P127" s="220"/>
      <c r="Q127" s="221"/>
      <c r="R127" s="220"/>
      <c r="S127" s="220"/>
      <c r="T127" s="220"/>
      <c r="U127" s="222"/>
      <c r="V127" s="217"/>
      <c r="W127" s="218"/>
      <c r="X127" s="184"/>
      <c r="Y127" s="185"/>
      <c r="Z127" s="109"/>
      <c r="AA127" s="114"/>
      <c r="AB127" s="115"/>
      <c r="AC127" s="185"/>
      <c r="AD127" s="109"/>
      <c r="AE127" s="114"/>
      <c r="AF127" s="115"/>
      <c r="AH127" s="109"/>
      <c r="AI127" s="114"/>
      <c r="AJ127" s="115"/>
    </row>
    <row r="128" spans="1:36" ht="13.35" customHeight="1" x14ac:dyDescent="0.3">
      <c r="A128" s="12"/>
      <c r="B128" s="12"/>
      <c r="E128" s="202"/>
      <c r="F128" s="203"/>
      <c r="G128" s="204"/>
      <c r="H128" s="202"/>
      <c r="I128" s="214"/>
      <c r="J128" s="214"/>
      <c r="K128" s="214"/>
      <c r="L128" s="214"/>
      <c r="M128" s="214"/>
      <c r="N128" s="214"/>
      <c r="O128" s="214"/>
      <c r="P128" s="214"/>
      <c r="Q128" s="215"/>
      <c r="R128" s="214"/>
      <c r="S128" s="214"/>
      <c r="T128" s="214"/>
      <c r="U128" s="216"/>
      <c r="V128" s="217"/>
      <c r="W128" s="218"/>
      <c r="X128" s="184"/>
      <c r="Y128" s="185"/>
      <c r="Z128" s="109"/>
      <c r="AA128" s="114"/>
      <c r="AB128" s="115"/>
      <c r="AC128" s="185"/>
      <c r="AD128" s="109"/>
      <c r="AE128" s="114"/>
      <c r="AF128" s="115"/>
      <c r="AH128" s="109"/>
      <c r="AI128" s="114"/>
      <c r="AJ128" s="115"/>
    </row>
    <row r="129" spans="1:36" ht="13.35" hidden="1" customHeight="1" outlineLevel="1" x14ac:dyDescent="0.3">
      <c r="A129" s="337" t="s">
        <v>205</v>
      </c>
      <c r="B129" s="12"/>
      <c r="E129" s="202"/>
      <c r="F129" s="203"/>
      <c r="G129" s="204"/>
      <c r="H129" s="202"/>
      <c r="I129" s="220"/>
      <c r="J129" s="220"/>
      <c r="K129" s="220"/>
      <c r="L129" s="220"/>
      <c r="M129" s="220"/>
      <c r="N129" s="220"/>
      <c r="O129" s="220"/>
      <c r="P129" s="220"/>
      <c r="Q129" s="221"/>
      <c r="R129" s="220"/>
      <c r="S129" s="220"/>
      <c r="T129" s="220"/>
      <c r="U129" s="222"/>
      <c r="V129" s="217"/>
      <c r="W129" s="218"/>
      <c r="X129" s="184"/>
      <c r="Y129" s="185"/>
      <c r="Z129" s="109"/>
      <c r="AA129" s="114"/>
      <c r="AB129" s="115"/>
      <c r="AC129" s="185"/>
      <c r="AD129" s="109"/>
      <c r="AE129" s="114"/>
      <c r="AF129" s="115"/>
      <c r="AH129" s="109"/>
      <c r="AI129" s="114"/>
      <c r="AJ129" s="115"/>
    </row>
    <row r="130" spans="1:36" ht="13.35" hidden="1" customHeight="1" outlineLevel="1" x14ac:dyDescent="0.3">
      <c r="A130" s="12"/>
      <c r="B130" s="12"/>
      <c r="E130" s="202"/>
      <c r="F130" s="203"/>
      <c r="G130" s="204"/>
      <c r="H130" s="202"/>
      <c r="I130" s="220"/>
      <c r="J130" s="220"/>
      <c r="K130" s="220"/>
      <c r="L130" s="220"/>
      <c r="M130" s="220"/>
      <c r="N130" s="220"/>
      <c r="O130" s="220"/>
      <c r="P130" s="220"/>
      <c r="Q130" s="221"/>
      <c r="R130" s="220"/>
      <c r="S130" s="220"/>
      <c r="T130" s="220"/>
      <c r="U130" s="222"/>
      <c r="V130" s="217"/>
      <c r="W130" s="218"/>
      <c r="X130" s="184"/>
      <c r="Y130" s="185"/>
      <c r="Z130" s="109"/>
      <c r="AA130" s="114"/>
      <c r="AB130" s="115"/>
      <c r="AC130" s="185"/>
      <c r="AD130" s="109"/>
      <c r="AE130" s="114"/>
      <c r="AF130" s="115"/>
      <c r="AH130" s="109"/>
      <c r="AI130" s="114"/>
      <c r="AJ130" s="115"/>
    </row>
    <row r="131" spans="1:36" ht="13.35" hidden="1" customHeight="1" outlineLevel="1" x14ac:dyDescent="0.3">
      <c r="A131" s="116" t="s">
        <v>206</v>
      </c>
      <c r="B131" s="12"/>
      <c r="E131" s="202"/>
      <c r="F131" s="203"/>
      <c r="G131" s="204"/>
      <c r="H131" s="202"/>
      <c r="I131" s="220"/>
      <c r="J131" s="220"/>
      <c r="K131" s="220"/>
      <c r="L131" s="220"/>
      <c r="M131" s="220"/>
      <c r="N131" s="220"/>
      <c r="O131" s="220"/>
      <c r="P131" s="220"/>
      <c r="Q131" s="221"/>
      <c r="R131" s="220"/>
      <c r="S131" s="220"/>
      <c r="T131" s="220"/>
      <c r="U131" s="222"/>
      <c r="V131" s="217"/>
      <c r="W131" s="218"/>
      <c r="X131" s="184"/>
      <c r="Y131" s="185"/>
      <c r="Z131" s="109"/>
      <c r="AA131" s="114"/>
      <c r="AB131" s="115"/>
      <c r="AC131" s="185"/>
      <c r="AD131" s="109"/>
      <c r="AE131" s="114"/>
      <c r="AF131" s="115"/>
      <c r="AH131" s="109"/>
      <c r="AI131" s="114"/>
      <c r="AJ131" s="115"/>
    </row>
    <row r="132" spans="1:36" ht="13.35" hidden="1" customHeight="1" outlineLevel="1" x14ac:dyDescent="0.3">
      <c r="A132" s="64" t="s">
        <v>207</v>
      </c>
      <c r="B132" s="64" t="s">
        <v>208</v>
      </c>
      <c r="E132" s="202"/>
      <c r="F132" s="203"/>
      <c r="G132" s="121"/>
      <c r="H132" s="265">
        <v>60000</v>
      </c>
      <c r="I132" s="123">
        <v>60000</v>
      </c>
      <c r="J132" s="134">
        <f>I132-H132</f>
        <v>0</v>
      </c>
      <c r="K132" s="271">
        <f>18000+6000</f>
        <v>24000</v>
      </c>
      <c r="L132" s="271"/>
      <c r="M132" s="123">
        <f>K132+L132</f>
        <v>24000</v>
      </c>
      <c r="N132" s="123">
        <f>18000+18000</f>
        <v>36000</v>
      </c>
      <c r="O132" s="123"/>
      <c r="P132" s="123">
        <f>M132+N132+O132</f>
        <v>60000</v>
      </c>
      <c r="Q132" s="206">
        <v>18400</v>
      </c>
      <c r="R132" s="205">
        <f>P132-Q132</f>
        <v>41600</v>
      </c>
      <c r="S132" s="275">
        <f>SUM(Q132:R132)</f>
        <v>60000</v>
      </c>
      <c r="T132" s="149">
        <f>IF(ISERR(Q132/S132),"-",Q132/S132)</f>
        <v>0.30666666666666664</v>
      </c>
      <c r="U132" s="224">
        <f>S132-I132</f>
        <v>0</v>
      </c>
      <c r="V132" s="208">
        <f t="shared" ref="V132:V133" si="105">P132-S132</f>
        <v>0</v>
      </c>
      <c r="W132" s="256">
        <f>IF(ISERR(V132/P132),"-",V132/P132)</f>
        <v>0</v>
      </c>
      <c r="X132" s="184"/>
      <c r="Y132" s="185"/>
      <c r="Z132" s="131">
        <f>'[1]2021-22'!C809</f>
        <v>40275</v>
      </c>
      <c r="AA132" s="228">
        <f>O132-Z132</f>
        <v>-40275</v>
      </c>
      <c r="AB132" s="128">
        <f>IF(ISERR(AA132/Z132),"-",AA132/Z132)</f>
        <v>-1</v>
      </c>
      <c r="AC132" s="185"/>
      <c r="AD132" s="131">
        <v>42500</v>
      </c>
      <c r="AE132" s="228">
        <f>S132-AD132</f>
        <v>17500</v>
      </c>
      <c r="AF132" s="128">
        <f>IF(ISERR(AE132/AD132),"-",AE132/AD132)</f>
        <v>0.41176470588235292</v>
      </c>
      <c r="AH132" s="131">
        <v>36505</v>
      </c>
      <c r="AI132" s="228">
        <f>S132-AH132</f>
        <v>23495</v>
      </c>
      <c r="AJ132" s="128">
        <f t="shared" ref="AJ132:AJ133" si="106">IF(ISERR(AI132/AH132),"-",AI132/AH132)</f>
        <v>0.64361046431995617</v>
      </c>
    </row>
    <row r="133" spans="1:36" ht="13.35" hidden="1" customHeight="1" outlineLevel="1" x14ac:dyDescent="0.3">
      <c r="A133" s="64" t="s">
        <v>209</v>
      </c>
      <c r="B133" s="64" t="s">
        <v>210</v>
      </c>
      <c r="E133" s="202"/>
      <c r="F133" s="203"/>
      <c r="G133" s="204"/>
      <c r="H133" s="186"/>
      <c r="I133" s="177">
        <v>121000</v>
      </c>
      <c r="J133" s="145">
        <f>I133-H133</f>
        <v>121000</v>
      </c>
      <c r="K133" s="272"/>
      <c r="L133" s="272"/>
      <c r="M133" s="135">
        <f>K133+L133</f>
        <v>0</v>
      </c>
      <c r="N133" s="135"/>
      <c r="O133" s="135">
        <f>50000+71000</f>
        <v>121000</v>
      </c>
      <c r="P133" s="135">
        <f>M133+N133+O133</f>
        <v>121000</v>
      </c>
      <c r="Q133" s="284">
        <v>13335.28</v>
      </c>
      <c r="R133" s="285">
        <f>P133-Q133</f>
        <v>107664.72</v>
      </c>
      <c r="S133" s="148">
        <f>SUM(Q133:R133)</f>
        <v>121000</v>
      </c>
      <c r="T133" s="149">
        <f>IF(ISERR(Q133/S133),"-",Q133/S133)</f>
        <v>0.11020892561983471</v>
      </c>
      <c r="U133" s="224">
        <f>S133-I133</f>
        <v>0</v>
      </c>
      <c r="V133" s="150">
        <f t="shared" si="105"/>
        <v>0</v>
      </c>
      <c r="W133" s="256">
        <f>IF(ISERR(V133/P133),"-",V133/P133)</f>
        <v>0</v>
      </c>
      <c r="X133" s="184"/>
      <c r="Y133" s="185"/>
      <c r="Z133" s="186">
        <f>SUM('[1]2021-22'!C810:C832)</f>
        <v>94925.239999999991</v>
      </c>
      <c r="AA133" s="228">
        <f>O133-Z133</f>
        <v>26074.760000000009</v>
      </c>
      <c r="AB133" s="128">
        <f>IF(ISERR(AA133/Z133),"-",AA133/Z133)</f>
        <v>0.27468732236020693</v>
      </c>
      <c r="AC133" s="185"/>
      <c r="AD133" s="186">
        <v>74164.340000000011</v>
      </c>
      <c r="AE133" s="228">
        <f>S133-AD133</f>
        <v>46835.659999999989</v>
      </c>
      <c r="AF133" s="128">
        <f>IF(ISERR(AE133/AD133),"-",AE133/AD133)</f>
        <v>0.63151185596743642</v>
      </c>
      <c r="AH133" s="186">
        <v>85613.75</v>
      </c>
      <c r="AI133" s="228">
        <f>S133-AH133</f>
        <v>35386.25</v>
      </c>
      <c r="AJ133" s="128">
        <f t="shared" si="106"/>
        <v>0.41332437838548131</v>
      </c>
    </row>
    <row r="134" spans="1:36" ht="13.35" hidden="1" customHeight="1" outlineLevel="1" x14ac:dyDescent="0.3">
      <c r="A134" s="1" t="s">
        <v>211</v>
      </c>
      <c r="B134" s="12"/>
      <c r="E134" s="258">
        <f>SUM(E132:E133)</f>
        <v>0</v>
      </c>
      <c r="F134" s="189">
        <f>SUM(F132:F133)</f>
        <v>0</v>
      </c>
      <c r="G134" s="190">
        <f>SUM(G132:G133)</f>
        <v>0</v>
      </c>
      <c r="H134" s="193">
        <f>SUM(H132:H133)</f>
        <v>60000</v>
      </c>
      <c r="I134" s="193">
        <f>SUM(I132:I133)</f>
        <v>181000</v>
      </c>
      <c r="J134" s="259">
        <f t="shared" ref="J134:P134" si="107">SUM(J132:J133)</f>
        <v>121000</v>
      </c>
      <c r="K134" s="193">
        <f t="shared" si="107"/>
        <v>24000</v>
      </c>
      <c r="L134" s="193">
        <f t="shared" si="107"/>
        <v>0</v>
      </c>
      <c r="M134" s="193">
        <f t="shared" si="107"/>
        <v>24000</v>
      </c>
      <c r="N134" s="193">
        <f t="shared" si="107"/>
        <v>36000</v>
      </c>
      <c r="O134" s="282">
        <f t="shared" si="107"/>
        <v>121000</v>
      </c>
      <c r="P134" s="193">
        <f t="shared" si="107"/>
        <v>181000</v>
      </c>
      <c r="Q134" s="195">
        <f>SUM(Q132:Q133)</f>
        <v>31735.279999999999</v>
      </c>
      <c r="R134" s="193">
        <f>SUM(R132:R133)</f>
        <v>149264.72</v>
      </c>
      <c r="S134" s="193">
        <f>SUM(S132:S133)</f>
        <v>181000</v>
      </c>
      <c r="T134" s="196">
        <f>IF(ISERR(Q134/S134),"-",Q134/S134)</f>
        <v>0.17533303867403313</v>
      </c>
      <c r="U134" s="260">
        <f>SUM(U132:U133)</f>
        <v>0</v>
      </c>
      <c r="V134" s="197">
        <f>SUM(V132:V133)</f>
        <v>0</v>
      </c>
      <c r="W134" s="198">
        <f>IF(ISERR(V134/P134),"-",V134/P134)</f>
        <v>0</v>
      </c>
      <c r="X134" s="199"/>
      <c r="Y134" s="185"/>
      <c r="Z134" s="200">
        <f>SUM(Z132:Z133)</f>
        <v>135200.24</v>
      </c>
      <c r="AA134" s="261">
        <f>SUM(AA132:AA133)</f>
        <v>-14200.239999999991</v>
      </c>
      <c r="AB134" s="198">
        <f>IF(ISERR(AA134/Z134),"-",AA134/Z134)</f>
        <v>-0.10503117450087361</v>
      </c>
      <c r="AC134" s="185"/>
      <c r="AD134" s="200">
        <f>SUM(AD132:AD133)</f>
        <v>116664.34000000001</v>
      </c>
      <c r="AE134" s="261">
        <f>SUM(AE132:AE133)</f>
        <v>64335.659999999989</v>
      </c>
      <c r="AF134" s="198">
        <f>IF(ISERR(AE134/AD134),"-",AE134/AD134)</f>
        <v>0.55145951196398135</v>
      </c>
      <c r="AH134" s="200">
        <v>122118.75</v>
      </c>
      <c r="AI134" s="261">
        <f>SUM(AI132:AI133)</f>
        <v>58881.25</v>
      </c>
      <c r="AJ134" s="198">
        <f>IF(ISERR(AI134/AH134),"-",AI134/AH134)</f>
        <v>0.48216387737345823</v>
      </c>
    </row>
    <row r="135" spans="1:36" ht="13.35" hidden="1" customHeight="1" outlineLevel="1" x14ac:dyDescent="0.3">
      <c r="A135" s="12"/>
      <c r="B135" s="12"/>
      <c r="E135" s="202"/>
      <c r="F135" s="203"/>
      <c r="G135" s="204"/>
      <c r="H135" s="202"/>
      <c r="I135" s="220"/>
      <c r="J135" s="220"/>
      <c r="K135" s="220"/>
      <c r="L135" s="220"/>
      <c r="M135" s="220"/>
      <c r="N135" s="220"/>
      <c r="O135" s="220"/>
      <c r="P135" s="220"/>
      <c r="Q135" s="221"/>
      <c r="R135" s="220"/>
      <c r="S135" s="220"/>
      <c r="T135" s="220"/>
      <c r="U135" s="222"/>
      <c r="V135" s="217"/>
      <c r="W135" s="218"/>
      <c r="X135" s="184"/>
      <c r="Y135" s="185"/>
      <c r="Z135" s="109"/>
      <c r="AA135" s="114"/>
      <c r="AB135" s="115"/>
      <c r="AC135" s="185"/>
      <c r="AD135" s="109"/>
      <c r="AE135" s="114"/>
      <c r="AF135" s="115"/>
      <c r="AH135" s="109"/>
      <c r="AI135" s="114"/>
      <c r="AJ135" s="115"/>
    </row>
    <row r="136" spans="1:36" ht="13.35" hidden="1" customHeight="1" outlineLevel="1" x14ac:dyDescent="0.3">
      <c r="A136" s="116" t="s">
        <v>212</v>
      </c>
      <c r="B136" s="12"/>
      <c r="E136" s="202"/>
      <c r="F136" s="203"/>
      <c r="G136" s="204"/>
      <c r="H136" s="202"/>
      <c r="I136" s="220"/>
      <c r="J136" s="220"/>
      <c r="K136" s="220"/>
      <c r="L136" s="220"/>
      <c r="M136" s="220"/>
      <c r="N136" s="220"/>
      <c r="O136" s="220"/>
      <c r="P136" s="220"/>
      <c r="Q136" s="221"/>
      <c r="R136" s="220"/>
      <c r="S136" s="220"/>
      <c r="T136" s="220"/>
      <c r="U136" s="222"/>
      <c r="V136" s="217"/>
      <c r="W136" s="218"/>
      <c r="X136" s="184"/>
      <c r="Y136" s="185"/>
      <c r="Z136" s="109"/>
      <c r="AA136" s="114"/>
      <c r="AB136" s="115"/>
      <c r="AC136" s="185"/>
      <c r="AD136" s="109"/>
      <c r="AE136" s="114"/>
      <c r="AF136" s="115"/>
      <c r="AH136" s="109"/>
      <c r="AI136" s="114"/>
      <c r="AJ136" s="115"/>
    </row>
    <row r="137" spans="1:36" ht="13.35" hidden="1" customHeight="1" outlineLevel="1" x14ac:dyDescent="0.3">
      <c r="A137" s="64" t="s">
        <v>213</v>
      </c>
      <c r="B137" s="64" t="s">
        <v>214</v>
      </c>
      <c r="D137" s="118" t="s">
        <v>49</v>
      </c>
      <c r="E137" s="119"/>
      <c r="F137" s="203">
        <f>104-1-3-21+1+1+1</f>
        <v>82</v>
      </c>
      <c r="G137" s="121">
        <f t="shared" ref="G137" si="108">E137-F137</f>
        <v>-82</v>
      </c>
      <c r="H137" s="265">
        <f>2374300+4181200</f>
        <v>6555500</v>
      </c>
      <c r="I137" s="123">
        <v>6555500</v>
      </c>
      <c r="J137" s="134">
        <f>I137-H137</f>
        <v>0</v>
      </c>
      <c r="K137" s="271">
        <f>591300+1036900+600400+1052900</f>
        <v>3281500</v>
      </c>
      <c r="L137" s="271">
        <f>17600+17700+53200</f>
        <v>88500</v>
      </c>
      <c r="M137" s="123">
        <f>K137+L137</f>
        <v>3370000</v>
      </c>
      <c r="N137" s="123">
        <f>591300+591300+1036900+1036900</f>
        <v>3256400</v>
      </c>
      <c r="O137" s="291">
        <v>261758.94</v>
      </c>
      <c r="P137" s="123">
        <f>M137+N137+O137</f>
        <v>6888158.9400000004</v>
      </c>
      <c r="Q137" s="206">
        <f>3842230.61+5319.12</f>
        <v>3847549.73</v>
      </c>
      <c r="R137" s="205">
        <f>[1]DO!I19-'[1]Operating Results'!Q137</f>
        <v>3031869.1549999998</v>
      </c>
      <c r="S137" s="338">
        <f>SUM(Q137:R137)</f>
        <v>6879418.8849999998</v>
      </c>
      <c r="T137" s="149">
        <f>IF(ISERR(Q137/S137),"-",Q137/S137)</f>
        <v>0.55928411895214902</v>
      </c>
      <c r="U137" s="224">
        <f>S137-I137</f>
        <v>323918.88499999978</v>
      </c>
      <c r="V137" s="208">
        <f t="shared" ref="V137:V142" si="109">P137-S137</f>
        <v>8740.0550000006333</v>
      </c>
      <c r="W137" s="256">
        <f>IF(ISERR(V137/P137),"-",V137/P137)</f>
        <v>1.2688521092692198E-3</v>
      </c>
      <c r="X137" s="339"/>
      <c r="Y137" s="340"/>
      <c r="Z137" s="131">
        <f>'[1]2021-22'!C837</f>
        <v>6569981.5599999996</v>
      </c>
      <c r="AA137" s="283">
        <f>O137-Z137</f>
        <v>-6308222.6199999992</v>
      </c>
      <c r="AB137" s="256">
        <f>IF(ISERR(AA137/Z137),"-",AA137/Z137)</f>
        <v>-0.96015834479754603</v>
      </c>
      <c r="AC137" s="340"/>
      <c r="AD137" s="131">
        <v>5558286.4699999997</v>
      </c>
      <c r="AE137" s="283">
        <f>S137-AD137</f>
        <v>1321132.415</v>
      </c>
      <c r="AF137" s="256">
        <f>IF(ISERR(AE137/AD137),"-",AE137/AD137)</f>
        <v>0.23768699618679426</v>
      </c>
      <c r="AH137" s="131">
        <v>5633724.96</v>
      </c>
      <c r="AI137" s="283">
        <f>S137-AH137</f>
        <v>1245693.9249999998</v>
      </c>
      <c r="AJ137" s="256">
        <f t="shared" ref="AJ137:AJ143" si="110">IF(ISERR(AI137/AH137),"-",AI137/AH137)</f>
        <v>0.22111372739076701</v>
      </c>
    </row>
    <row r="138" spans="1:36" ht="13.35" hidden="1" customHeight="1" outlineLevel="1" x14ac:dyDescent="0.3">
      <c r="A138" s="64"/>
      <c r="B138" s="64"/>
      <c r="D138" s="118" t="s">
        <v>50</v>
      </c>
      <c r="E138" s="119"/>
      <c r="F138" s="203">
        <f>F137-1</f>
        <v>81</v>
      </c>
      <c r="G138" s="121"/>
      <c r="H138" s="265"/>
      <c r="I138" s="123"/>
      <c r="J138" s="134"/>
      <c r="K138" s="271"/>
      <c r="L138" s="271"/>
      <c r="M138" s="123"/>
      <c r="N138" s="123"/>
      <c r="O138" s="123"/>
      <c r="P138" s="123"/>
      <c r="Q138" s="206"/>
      <c r="R138" s="205"/>
      <c r="S138" s="148"/>
      <c r="T138" s="149"/>
      <c r="U138" s="224"/>
      <c r="V138" s="208"/>
      <c r="W138" s="256"/>
      <c r="X138" s="339"/>
      <c r="Y138" s="340"/>
      <c r="Z138" s="186"/>
      <c r="AA138" s="283"/>
      <c r="AB138" s="256"/>
      <c r="AC138" s="340"/>
      <c r="AD138" s="186"/>
      <c r="AE138" s="283"/>
      <c r="AF138" s="256"/>
      <c r="AH138" s="186"/>
      <c r="AI138" s="283"/>
      <c r="AJ138" s="256"/>
    </row>
    <row r="139" spans="1:36" ht="15" hidden="1" customHeight="1" outlineLevel="1" x14ac:dyDescent="0.3">
      <c r="A139" s="64" t="s">
        <v>215</v>
      </c>
      <c r="B139" s="64" t="s">
        <v>148</v>
      </c>
      <c r="D139" s="341"/>
      <c r="E139" s="230"/>
      <c r="G139" s="121"/>
      <c r="H139" s="186"/>
      <c r="I139" s="144"/>
      <c r="J139" s="145">
        <f>I139-H139</f>
        <v>0</v>
      </c>
      <c r="K139" s="272"/>
      <c r="L139" s="272"/>
      <c r="M139" s="135">
        <f>K139+L139</f>
        <v>0</v>
      </c>
      <c r="N139" s="135"/>
      <c r="O139" s="135"/>
      <c r="P139" s="135">
        <f>M139+N139+O139</f>
        <v>0</v>
      </c>
      <c r="Q139" s="284">
        <f>36636.81+87672.47</f>
        <v>124309.28</v>
      </c>
      <c r="R139" s="285">
        <f>[1]DO!I87+[1]DO!I108-'[1]Operating Results'!Q139</f>
        <v>116345.99999999997</v>
      </c>
      <c r="S139" s="148">
        <f t="shared" ref="S139:S142" si="111">SUM(Q139:R139)</f>
        <v>240655.27999999997</v>
      </c>
      <c r="T139" s="149">
        <f>IF(ISERR(Q139/S139),"-",Q139/S139)</f>
        <v>0.51654499331990567</v>
      </c>
      <c r="U139" s="224">
        <f>S139-I139</f>
        <v>240655.27999999997</v>
      </c>
      <c r="V139" s="150">
        <f t="shared" si="109"/>
        <v>-240655.27999999997</v>
      </c>
      <c r="W139" s="256" t="str">
        <f>IF(ISERR(V139/P139),"-",V139/P139)</f>
        <v>-</v>
      </c>
      <c r="X139" s="339"/>
      <c r="Y139" s="340"/>
      <c r="Z139" s="186">
        <f>'[1]2021-22'!C839</f>
        <v>32193.26</v>
      </c>
      <c r="AA139" s="255">
        <f>O139-Z139</f>
        <v>-32193.26</v>
      </c>
      <c r="AB139" s="256">
        <f>IF(ISERR(AA139/Z139),"-",AA139/Z139)</f>
        <v>-1</v>
      </c>
      <c r="AC139" s="340"/>
      <c r="AD139" s="186">
        <v>250427.85</v>
      </c>
      <c r="AE139" s="255">
        <f>S139-AD139</f>
        <v>-9772.5700000000361</v>
      </c>
      <c r="AF139" s="256">
        <f>IF(ISERR(AE139/AD139),"-",AE139/AD139)</f>
        <v>-3.9023495190331409E-2</v>
      </c>
      <c r="AH139" s="186">
        <v>152036.57</v>
      </c>
      <c r="AI139" s="255">
        <f>S139-AH139</f>
        <v>88618.709999999963</v>
      </c>
      <c r="AJ139" s="256">
        <f t="shared" si="110"/>
        <v>0.58287759320010946</v>
      </c>
    </row>
    <row r="140" spans="1:36" ht="13.35" hidden="1" customHeight="1" outlineLevel="1" x14ac:dyDescent="0.3">
      <c r="A140" s="64" t="s">
        <v>216</v>
      </c>
      <c r="B140" s="64" t="s">
        <v>70</v>
      </c>
      <c r="D140" s="342"/>
      <c r="E140" s="202"/>
      <c r="F140" s="203"/>
      <c r="G140" s="204"/>
      <c r="H140" s="186">
        <f>155700+57700+43500+1500</f>
        <v>258400</v>
      </c>
      <c r="I140" s="177">
        <f>1340400+57700</f>
        <v>1398100</v>
      </c>
      <c r="J140" s="145">
        <f>I140-H140</f>
        <v>1139700</v>
      </c>
      <c r="K140" s="272">
        <f>13100+500+14400+77300+14400+81200+4400+200</f>
        <v>205500</v>
      </c>
      <c r="L140" s="272">
        <f>200+2800+900</f>
        <v>3900</v>
      </c>
      <c r="M140" s="135">
        <f>K140+L140</f>
        <v>209400</v>
      </c>
      <c r="N140" s="135">
        <f>13100+12900+500+300+14400+14500+122700+138700</f>
        <v>317100</v>
      </c>
      <c r="O140" s="135">
        <f>-43500-1500+2292900-315160-505020-106320-71000-200000-50000-29900-95000</f>
        <v>875500</v>
      </c>
      <c r="P140" s="135">
        <f>M140+N140+O140</f>
        <v>1402000</v>
      </c>
      <c r="Q140" s="284">
        <v>455687.95</v>
      </c>
      <c r="R140" s="285">
        <f>1273100-Q140-111075</f>
        <v>706337.05</v>
      </c>
      <c r="S140" s="148">
        <f t="shared" si="111"/>
        <v>1162025</v>
      </c>
      <c r="T140" s="149">
        <f>IF(ISERR(Q140/S140),"-",Q140/S140)</f>
        <v>0.39214986768787247</v>
      </c>
      <c r="U140" s="224">
        <f>S140-I140</f>
        <v>-236075</v>
      </c>
      <c r="V140" s="150">
        <f t="shared" si="109"/>
        <v>239975</v>
      </c>
      <c r="W140" s="256">
        <f>IF(ISERR(V140/P140),"-",V140/P140)</f>
        <v>0.17116619115549214</v>
      </c>
      <c r="X140" s="339"/>
      <c r="Y140" s="340"/>
      <c r="Z140" s="186">
        <f>'[1]2021-22'!C838+SUM('[1]2021-22'!C840:C893)</f>
        <v>1035264.6300000004</v>
      </c>
      <c r="AA140" s="255">
        <f>O140-Z140</f>
        <v>-159764.63000000035</v>
      </c>
      <c r="AB140" s="256">
        <f>IF(ISERR(AA140/Z140),"-",AA140/Z140)</f>
        <v>-0.15432250399591096</v>
      </c>
      <c r="AC140" s="340"/>
      <c r="AD140" s="186">
        <v>883838.77000000014</v>
      </c>
      <c r="AE140" s="255">
        <f>S140-AD140</f>
        <v>278186.22999999986</v>
      </c>
      <c r="AF140" s="256">
        <f>IF(ISERR(AE140/AD140),"-",AE140/AD140)</f>
        <v>0.31474771128222834</v>
      </c>
      <c r="AH140" s="186">
        <v>766308.61</v>
      </c>
      <c r="AI140" s="255">
        <f>S140-AH140</f>
        <v>395716.39</v>
      </c>
      <c r="AJ140" s="256">
        <f t="shared" si="110"/>
        <v>0.51639298428344682</v>
      </c>
    </row>
    <row r="141" spans="1:36" ht="13.35" hidden="1" customHeight="1" outlineLevel="1" x14ac:dyDescent="0.3">
      <c r="A141" s="305" t="s">
        <v>217</v>
      </c>
      <c r="B141" s="305" t="s">
        <v>218</v>
      </c>
      <c r="C141" s="306"/>
      <c r="D141" s="343"/>
      <c r="E141" s="307"/>
      <c r="F141" s="308"/>
      <c r="G141" s="309"/>
      <c r="H141" s="344"/>
      <c r="I141" s="243"/>
      <c r="J141" s="244">
        <f t="shared" ref="J141:J142" si="112">I141-H141</f>
        <v>0</v>
      </c>
      <c r="K141" s="310"/>
      <c r="L141" s="310"/>
      <c r="M141" s="246">
        <f>K141+L141</f>
        <v>0</v>
      </c>
      <c r="N141" s="246"/>
      <c r="O141" s="246"/>
      <c r="P141" s="246">
        <f>M141+N141+O141</f>
        <v>0</v>
      </c>
      <c r="Q141" s="311"/>
      <c r="R141" s="312"/>
      <c r="S141" s="267">
        <f t="shared" si="111"/>
        <v>0</v>
      </c>
      <c r="T141" s="268" t="str">
        <f>IF(ISERR(Q141/S141),"-",Q141/S141)</f>
        <v>-</v>
      </c>
      <c r="U141" s="250"/>
      <c r="V141" s="269">
        <f t="shared" si="109"/>
        <v>0</v>
      </c>
      <c r="W141" s="313" t="str">
        <f>IF(ISERR(V141/P141),"-",V141/P141)</f>
        <v>-</v>
      </c>
      <c r="X141" s="339"/>
      <c r="Y141" s="340"/>
      <c r="Z141" s="186"/>
      <c r="AA141" s="255"/>
      <c r="AB141" s="256"/>
      <c r="AC141" s="340"/>
      <c r="AD141" s="186"/>
      <c r="AE141" s="255"/>
      <c r="AF141" s="256"/>
      <c r="AH141" s="186"/>
      <c r="AI141" s="255"/>
      <c r="AJ141" s="256"/>
    </row>
    <row r="142" spans="1:36" ht="13.35" hidden="1" customHeight="1" outlineLevel="1" x14ac:dyDescent="0.3">
      <c r="A142" s="64" t="s">
        <v>219</v>
      </c>
      <c r="B142" s="64" t="s">
        <v>220</v>
      </c>
      <c r="D142" s="342"/>
      <c r="E142" s="202"/>
      <c r="F142" s="203"/>
      <c r="G142" s="204"/>
      <c r="H142" s="345"/>
      <c r="I142" s="144">
        <v>155700</v>
      </c>
      <c r="J142" s="145">
        <f t="shared" si="112"/>
        <v>155700</v>
      </c>
      <c r="K142" s="272">
        <f>46700+15600</f>
        <v>62300</v>
      </c>
      <c r="L142" s="272"/>
      <c r="M142" s="135">
        <f>K142+L142</f>
        <v>62300</v>
      </c>
      <c r="N142" s="135">
        <f>46700+46700</f>
        <v>93400</v>
      </c>
      <c r="O142" s="135"/>
      <c r="P142" s="135">
        <f>M142+N142+O142</f>
        <v>155700</v>
      </c>
      <c r="Q142" s="284">
        <v>4343.12</v>
      </c>
      <c r="R142" s="285">
        <f>P142-Q142</f>
        <v>151356.88</v>
      </c>
      <c r="S142" s="148">
        <f t="shared" si="111"/>
        <v>155700</v>
      </c>
      <c r="T142" s="149">
        <f>IF(ISERR(Q142/S142),"-",Q142/S142)</f>
        <v>2.7894155427103402E-2</v>
      </c>
      <c r="U142" s="224"/>
      <c r="V142" s="150">
        <f t="shared" si="109"/>
        <v>0</v>
      </c>
      <c r="W142" s="256">
        <f>IF(ISERR(V142/P142),"-",V142/P142)</f>
        <v>0</v>
      </c>
      <c r="X142" s="339"/>
      <c r="Y142" s="340"/>
      <c r="Z142" s="186"/>
      <c r="AA142" s="255"/>
      <c r="AB142" s="256"/>
      <c r="AC142" s="340"/>
      <c r="AD142" s="186"/>
      <c r="AE142" s="255"/>
      <c r="AF142" s="256"/>
      <c r="AH142" s="186"/>
      <c r="AI142" s="255"/>
      <c r="AJ142" s="256"/>
    </row>
    <row r="143" spans="1:36" ht="13.35" hidden="1" customHeight="1" outlineLevel="1" x14ac:dyDescent="0.3">
      <c r="A143" s="1" t="s">
        <v>221</v>
      </c>
      <c r="B143" s="12"/>
      <c r="D143" s="342"/>
      <c r="E143" s="258">
        <f>E137</f>
        <v>0</v>
      </c>
      <c r="F143" s="346">
        <f>F138</f>
        <v>81</v>
      </c>
      <c r="G143" s="190">
        <f>G137</f>
        <v>-82</v>
      </c>
      <c r="H143" s="193">
        <f>SUM(H137:H142)</f>
        <v>6813900</v>
      </c>
      <c r="I143" s="193">
        <f>SUM(I137:I142)</f>
        <v>8109300</v>
      </c>
      <c r="J143" s="193">
        <f>SUM(J137:J142)</f>
        <v>1295400</v>
      </c>
      <c r="K143" s="193">
        <f t="shared" ref="K143:P143" si="113">SUM(K137:K142)</f>
        <v>3549300</v>
      </c>
      <c r="L143" s="193">
        <f t="shared" si="113"/>
        <v>92400</v>
      </c>
      <c r="M143" s="193">
        <f t="shared" si="113"/>
        <v>3641700</v>
      </c>
      <c r="N143" s="193">
        <f t="shared" si="113"/>
        <v>3666900</v>
      </c>
      <c r="O143" s="193">
        <f t="shared" si="113"/>
        <v>1137258.94</v>
      </c>
      <c r="P143" s="193">
        <f t="shared" si="113"/>
        <v>8445858.9400000013</v>
      </c>
      <c r="Q143" s="195">
        <f>SUM(Q137:Q142)</f>
        <v>4431890.08</v>
      </c>
      <c r="R143" s="193">
        <f t="shared" ref="R143:T143" si="114">SUM(R137:R142)</f>
        <v>4005909.085</v>
      </c>
      <c r="S143" s="193">
        <f t="shared" si="114"/>
        <v>8437799.1649999991</v>
      </c>
      <c r="T143" s="193">
        <f t="shared" si="114"/>
        <v>1.4958731353870307</v>
      </c>
      <c r="U143" s="260">
        <f>SUM(U137:U140)</f>
        <v>328499.1649999998</v>
      </c>
      <c r="V143" s="197">
        <f>SUM(V137:V142)</f>
        <v>8059.7750000006636</v>
      </c>
      <c r="W143" s="198">
        <f>IF(ISERR(V143/P143),"-",V143/P143)</f>
        <v>9.5428719059338944E-4</v>
      </c>
      <c r="X143" s="195"/>
      <c r="Y143" s="288"/>
      <c r="Z143" s="200">
        <f>SUM(Z137:Z140)</f>
        <v>7637439.4499999993</v>
      </c>
      <c r="AA143" s="261">
        <f>SUM(AA137:AA140)</f>
        <v>-6500180.5099999998</v>
      </c>
      <c r="AB143" s="198">
        <f>IF(ISERR(AA143/Z143),"-",AA143/Z143)</f>
        <v>-0.85109421194822044</v>
      </c>
      <c r="AC143" s="288"/>
      <c r="AD143" s="200">
        <f>SUM(AD137:AD140)</f>
        <v>6692553.0899999999</v>
      </c>
      <c r="AE143" s="261">
        <f>SUM(AE137:AE140)</f>
        <v>1589546.0749999997</v>
      </c>
      <c r="AF143" s="198">
        <f>IF(ISERR(AE143/AD143),"-",AE143/AD143)</f>
        <v>0.23750966987099384</v>
      </c>
      <c r="AH143" s="200">
        <v>6552070.1400000006</v>
      </c>
      <c r="AI143" s="261">
        <f>SUM(AI137:AI140)</f>
        <v>1730029.0249999999</v>
      </c>
      <c r="AJ143" s="198">
        <f t="shared" si="110"/>
        <v>0.26404311737114583</v>
      </c>
    </row>
    <row r="144" spans="1:36" ht="13.35" hidden="1" customHeight="1" outlineLevel="1" x14ac:dyDescent="0.3">
      <c r="A144" s="12"/>
      <c r="B144" s="12"/>
      <c r="E144" s="202"/>
      <c r="F144" s="203"/>
      <c r="G144" s="204"/>
      <c r="H144" s="202"/>
      <c r="I144" s="220"/>
      <c r="J144" s="220"/>
      <c r="K144" s="220"/>
      <c r="L144" s="220"/>
      <c r="M144" s="220"/>
      <c r="N144" s="220"/>
      <c r="O144" s="220"/>
      <c r="P144" s="220"/>
      <c r="Q144" s="221"/>
      <c r="R144" s="220"/>
      <c r="S144" s="220"/>
      <c r="T144" s="220"/>
      <c r="U144" s="319"/>
      <c r="V144" s="217"/>
      <c r="W144" s="218"/>
      <c r="X144" s="184"/>
      <c r="Y144" s="185"/>
      <c r="Z144" s="221"/>
      <c r="AA144" s="347"/>
      <c r="AB144" s="115"/>
      <c r="AC144" s="185"/>
      <c r="AD144" s="221"/>
      <c r="AE144" s="347"/>
      <c r="AF144" s="115"/>
      <c r="AH144" s="221"/>
      <c r="AI144" s="347"/>
      <c r="AJ144" s="115"/>
    </row>
    <row r="145" spans="1:36" ht="13.35" customHeight="1" collapsed="1" x14ac:dyDescent="0.3">
      <c r="A145" s="316" t="s">
        <v>222</v>
      </c>
      <c r="B145" s="12"/>
      <c r="E145" s="258">
        <f t="shared" ref="E145:S145" si="115">E134+E143</f>
        <v>0</v>
      </c>
      <c r="F145" s="346">
        <f t="shared" si="115"/>
        <v>81</v>
      </c>
      <c r="G145" s="190">
        <f t="shared" si="115"/>
        <v>-82</v>
      </c>
      <c r="H145" s="193">
        <f t="shared" si="115"/>
        <v>6873900</v>
      </c>
      <c r="I145" s="193">
        <f t="shared" si="115"/>
        <v>8290300</v>
      </c>
      <c r="J145" s="259">
        <f t="shared" si="115"/>
        <v>1416400</v>
      </c>
      <c r="K145" s="193">
        <f t="shared" si="115"/>
        <v>3573300</v>
      </c>
      <c r="L145" s="193">
        <f t="shared" si="115"/>
        <v>92400</v>
      </c>
      <c r="M145" s="193">
        <f t="shared" si="115"/>
        <v>3665700</v>
      </c>
      <c r="N145" s="193">
        <f t="shared" si="115"/>
        <v>3702900</v>
      </c>
      <c r="O145" s="193">
        <f t="shared" si="115"/>
        <v>1258258.94</v>
      </c>
      <c r="P145" s="193">
        <f t="shared" si="115"/>
        <v>8626858.9400000013</v>
      </c>
      <c r="Q145" s="195">
        <f t="shared" si="115"/>
        <v>4463625.3600000003</v>
      </c>
      <c r="R145" s="193">
        <f t="shared" si="115"/>
        <v>4155173.8050000002</v>
      </c>
      <c r="S145" s="193">
        <f t="shared" si="115"/>
        <v>8618799.1649999991</v>
      </c>
      <c r="T145" s="196">
        <f>IF(ISERR(Q145/S145),"-",Q145/S145)</f>
        <v>0.51789411431308141</v>
      </c>
      <c r="U145" s="260">
        <f>U134+U143</f>
        <v>328499.1649999998</v>
      </c>
      <c r="V145" s="197">
        <f>V134+V143</f>
        <v>8059.7750000006636</v>
      </c>
      <c r="W145" s="198">
        <f>IF(ISERR(V145/P145),"-",V145/P145)</f>
        <v>9.3426530514252994E-4</v>
      </c>
      <c r="X145" s="199"/>
      <c r="Y145" s="185"/>
      <c r="Z145" s="200">
        <f>Z134+Z143</f>
        <v>7772639.6899999995</v>
      </c>
      <c r="AA145" s="261">
        <f>AA134+AA143</f>
        <v>-6514380.75</v>
      </c>
      <c r="AB145" s="198">
        <f>IF(ISERR(AA145/Z145),"-",AA145/Z145)</f>
        <v>-0.83811690877439871</v>
      </c>
      <c r="AC145" s="185"/>
      <c r="AD145" s="200">
        <f>AD134+AD143</f>
        <v>6809217.4299999997</v>
      </c>
      <c r="AE145" s="261">
        <f>AE134+AE143</f>
        <v>1653881.7349999996</v>
      </c>
      <c r="AF145" s="198">
        <f>IF(ISERR(AE145/AD145),"-",AE145/AD145)</f>
        <v>0.24288866554816413</v>
      </c>
      <c r="AH145" s="200">
        <v>6674188.8900000006</v>
      </c>
      <c r="AI145" s="261">
        <f>AI134+AI143</f>
        <v>1788910.2749999999</v>
      </c>
      <c r="AJ145" s="198">
        <f>IF(ISERR(AI145/AH145),"-",AI145/AH145)</f>
        <v>0.26803410938523792</v>
      </c>
    </row>
    <row r="146" spans="1:36" ht="13.35" customHeight="1" x14ac:dyDescent="0.3">
      <c r="A146" s="12"/>
      <c r="B146" s="12"/>
      <c r="E146" s="202"/>
      <c r="F146" s="203"/>
      <c r="G146" s="348"/>
      <c r="H146" s="202"/>
      <c r="I146" s="220"/>
      <c r="J146" s="220"/>
      <c r="K146" s="220"/>
      <c r="L146" s="220"/>
      <c r="M146" s="220"/>
      <c r="N146" s="220"/>
      <c r="O146" s="220"/>
      <c r="P146" s="220"/>
      <c r="Q146" s="221"/>
      <c r="R146" s="220"/>
      <c r="S146" s="220"/>
      <c r="T146" s="220"/>
      <c r="U146" s="222"/>
      <c r="V146" s="217"/>
      <c r="W146" s="218"/>
      <c r="X146" s="184"/>
      <c r="Y146" s="185"/>
      <c r="Z146" s="109"/>
      <c r="AA146" s="114"/>
      <c r="AB146" s="115"/>
      <c r="AC146" s="185"/>
      <c r="AD146" s="109"/>
      <c r="AE146" s="114"/>
      <c r="AF146" s="115"/>
      <c r="AH146" s="109"/>
      <c r="AI146" s="114"/>
      <c r="AJ146" s="115"/>
    </row>
    <row r="147" spans="1:36" ht="13.35" customHeight="1" x14ac:dyDescent="0.3">
      <c r="A147" s="12"/>
      <c r="B147" s="12"/>
      <c r="E147" s="202"/>
      <c r="F147" s="203"/>
      <c r="G147" s="204"/>
      <c r="H147" s="202"/>
      <c r="I147" s="214"/>
      <c r="J147" s="214"/>
      <c r="K147" s="349"/>
      <c r="L147" s="349"/>
      <c r="M147" s="349"/>
      <c r="N147" s="349"/>
      <c r="O147" s="349"/>
      <c r="P147" s="349"/>
      <c r="Q147" s="350"/>
      <c r="R147" s="349"/>
      <c r="S147" s="349"/>
      <c r="T147" s="349"/>
      <c r="U147" s="351"/>
      <c r="V147" s="217"/>
      <c r="W147" s="218"/>
      <c r="X147" s="184"/>
      <c r="Y147" s="185"/>
      <c r="Z147" s="109"/>
      <c r="AA147" s="114"/>
      <c r="AB147" s="115"/>
      <c r="AC147" s="185"/>
      <c r="AD147" s="109"/>
      <c r="AE147" s="114"/>
      <c r="AF147" s="115"/>
      <c r="AH147" s="109"/>
      <c r="AI147" s="114"/>
      <c r="AJ147" s="115"/>
    </row>
    <row r="148" spans="1:36" ht="13.35" hidden="1" customHeight="1" outlineLevel="1" x14ac:dyDescent="0.3">
      <c r="A148" s="337" t="s">
        <v>223</v>
      </c>
      <c r="B148" s="12"/>
      <c r="E148" s="202"/>
      <c r="F148" s="203"/>
      <c r="G148" s="204"/>
      <c r="H148" s="202"/>
      <c r="I148" s="220"/>
      <c r="J148" s="220"/>
      <c r="K148" s="220"/>
      <c r="L148" s="220"/>
      <c r="M148" s="220"/>
      <c r="N148" s="220"/>
      <c r="O148" s="220"/>
      <c r="P148" s="220"/>
      <c r="Q148" s="221"/>
      <c r="R148" s="220"/>
      <c r="S148" s="220"/>
      <c r="T148" s="220"/>
      <c r="U148" s="222"/>
      <c r="V148" s="217"/>
      <c r="W148" s="218"/>
      <c r="X148" s="184"/>
      <c r="Y148" s="185"/>
      <c r="Z148" s="109"/>
      <c r="AA148" s="114"/>
      <c r="AB148" s="115"/>
      <c r="AC148" s="185"/>
      <c r="AD148" s="109"/>
      <c r="AE148" s="114"/>
      <c r="AF148" s="115"/>
      <c r="AH148" s="109"/>
      <c r="AI148" s="114"/>
      <c r="AJ148" s="115"/>
    </row>
    <row r="149" spans="1:36" ht="13.35" hidden="1" customHeight="1" outlineLevel="1" x14ac:dyDescent="0.3">
      <c r="A149" s="276" t="s">
        <v>224</v>
      </c>
      <c r="B149" s="276" t="s">
        <v>225</v>
      </c>
      <c r="E149" s="202"/>
      <c r="F149" s="203"/>
      <c r="G149" s="204"/>
      <c r="H149" s="186">
        <v>2800</v>
      </c>
      <c r="I149" s="220">
        <v>2800</v>
      </c>
      <c r="J149" s="134">
        <f t="shared" ref="J149:J150" si="116">I149-H149</f>
        <v>0</v>
      </c>
      <c r="K149" s="220"/>
      <c r="L149" s="220"/>
      <c r="M149" s="123">
        <f>K149+L149</f>
        <v>0</v>
      </c>
      <c r="N149" s="123"/>
      <c r="O149" s="123">
        <v>2800</v>
      </c>
      <c r="P149" s="123">
        <f>M149+N149+O149</f>
        <v>2800</v>
      </c>
      <c r="Q149" s="352">
        <v>1154.5</v>
      </c>
      <c r="R149" s="353">
        <f>P149-Q149</f>
        <v>1645.5</v>
      </c>
      <c r="S149" s="338">
        <f>SUM(Q149:R149)</f>
        <v>2800</v>
      </c>
      <c r="T149" s="149">
        <f t="shared" ref="T149:T169" si="117">IF(ISERR(Q149/S149),"-",Q149/S149)</f>
        <v>0.41232142857142856</v>
      </c>
      <c r="U149" s="224">
        <f t="shared" ref="U149:U169" si="118">S149-I149</f>
        <v>0</v>
      </c>
      <c r="V149" s="208">
        <f t="shared" ref="V149:V169" si="119">P149-S149</f>
        <v>0</v>
      </c>
      <c r="W149" s="256">
        <f t="shared" ref="W149:W170" si="120">IF(ISERR(V149/P149),"-",V149/P149)</f>
        <v>0</v>
      </c>
      <c r="X149" s="184"/>
      <c r="Y149" s="185"/>
      <c r="Z149" s="131">
        <f>'[1]2021-22'!C898</f>
        <v>2834.98</v>
      </c>
      <c r="AA149" s="255">
        <f>O149-Z149</f>
        <v>-34.980000000000018</v>
      </c>
      <c r="AB149" s="256">
        <f>IF(ISERR(AA149/Z149),"-",AA149/Z149)</f>
        <v>-1.2338711384207302E-2</v>
      </c>
      <c r="AC149" s="185"/>
      <c r="AD149" s="131">
        <v>16385.16</v>
      </c>
      <c r="AE149" s="255">
        <f>S149-AD149</f>
        <v>-13585.16</v>
      </c>
      <c r="AF149" s="256">
        <f>IF(ISERR(AE149/AD149),"-",AE149/AD149)</f>
        <v>-0.82911366138627884</v>
      </c>
      <c r="AH149" s="131">
        <v>22430.58</v>
      </c>
      <c r="AI149" s="255">
        <f>S149-AH149</f>
        <v>-19630.580000000002</v>
      </c>
      <c r="AJ149" s="256">
        <f>IF(ISERR(AI149/AH149),"-",AI149/AH149)</f>
        <v>-0.87517041467496604</v>
      </c>
    </row>
    <row r="150" spans="1:36" ht="13.35" hidden="1" customHeight="1" outlineLevel="1" x14ac:dyDescent="0.3">
      <c r="A150" s="276" t="s">
        <v>226</v>
      </c>
      <c r="B150" s="276" t="s">
        <v>227</v>
      </c>
      <c r="E150" s="202"/>
      <c r="F150" s="203"/>
      <c r="G150" s="204"/>
      <c r="H150" s="186">
        <v>8000</v>
      </c>
      <c r="I150" s="220"/>
      <c r="J150" s="134">
        <f t="shared" si="116"/>
        <v>-8000</v>
      </c>
      <c r="K150" s="220"/>
      <c r="L150" s="220"/>
      <c r="M150" s="135">
        <f>K150+L150</f>
        <v>0</v>
      </c>
      <c r="N150" s="135"/>
      <c r="O150" s="135"/>
      <c r="P150" s="135">
        <f>M150+N150+O150</f>
        <v>0</v>
      </c>
      <c r="Q150" s="221"/>
      <c r="R150" s="353"/>
      <c r="S150" s="148">
        <f t="shared" ref="S150:S169" si="121">SUM(Q150:R150)</f>
        <v>0</v>
      </c>
      <c r="T150" s="149" t="str">
        <f t="shared" si="117"/>
        <v>-</v>
      </c>
      <c r="U150" s="224">
        <f t="shared" si="118"/>
        <v>0</v>
      </c>
      <c r="V150" s="150">
        <f t="shared" si="119"/>
        <v>0</v>
      </c>
      <c r="W150" s="256" t="str">
        <f t="shared" si="120"/>
        <v>-</v>
      </c>
      <c r="X150" s="184"/>
      <c r="Y150" s="185"/>
      <c r="Z150" s="186">
        <v>0</v>
      </c>
      <c r="AA150" s="114"/>
      <c r="AB150" s="115"/>
      <c r="AC150" s="185"/>
      <c r="AD150" s="186">
        <v>0</v>
      </c>
      <c r="AE150" s="114"/>
      <c r="AF150" s="115"/>
      <c r="AH150" s="186">
        <v>0</v>
      </c>
      <c r="AI150" s="114"/>
      <c r="AJ150" s="115"/>
    </row>
    <row r="151" spans="1:36" ht="13.35" hidden="1" customHeight="1" outlineLevel="1" x14ac:dyDescent="0.3">
      <c r="A151" s="276" t="s">
        <v>228</v>
      </c>
      <c r="B151" s="276" t="s">
        <v>229</v>
      </c>
      <c r="C151" s="138"/>
      <c r="D151" s="138"/>
      <c r="E151" s="354"/>
      <c r="F151" s="355"/>
      <c r="G151" s="356"/>
      <c r="H151" s="265"/>
      <c r="I151" s="123"/>
      <c r="J151" s="134">
        <f>I151-H151</f>
        <v>0</v>
      </c>
      <c r="K151" s="271"/>
      <c r="L151" s="271"/>
      <c r="M151" s="135">
        <f t="shared" ref="M151:M169" si="122">K151+L151</f>
        <v>0</v>
      </c>
      <c r="N151" s="135"/>
      <c r="O151" s="135"/>
      <c r="P151" s="135">
        <f t="shared" ref="P151:P169" si="123">M151+N151+O151</f>
        <v>0</v>
      </c>
      <c r="Q151" s="357"/>
      <c r="R151" s="353"/>
      <c r="S151" s="148">
        <f t="shared" si="121"/>
        <v>0</v>
      </c>
      <c r="T151" s="149" t="str">
        <f t="shared" si="117"/>
        <v>-</v>
      </c>
      <c r="U151" s="224">
        <f t="shared" si="118"/>
        <v>0</v>
      </c>
      <c r="V151" s="150">
        <f t="shared" si="119"/>
        <v>0</v>
      </c>
      <c r="W151" s="256" t="str">
        <f t="shared" si="120"/>
        <v>-</v>
      </c>
      <c r="X151" s="184"/>
      <c r="Y151" s="185"/>
      <c r="Z151" s="137">
        <f>'[1]2021-22'!C899</f>
        <v>0</v>
      </c>
      <c r="AA151" s="283"/>
      <c r="AB151" s="256"/>
      <c r="AC151" s="185"/>
      <c r="AD151" s="137">
        <v>0</v>
      </c>
      <c r="AE151" s="283"/>
      <c r="AF151" s="256"/>
      <c r="AH151" s="137">
        <v>0</v>
      </c>
      <c r="AI151" s="283"/>
      <c r="AJ151" s="256"/>
    </row>
    <row r="152" spans="1:36" ht="13.35" hidden="1" customHeight="1" outlineLevel="1" x14ac:dyDescent="0.3">
      <c r="A152" s="276" t="s">
        <v>230</v>
      </c>
      <c r="B152" s="276" t="s">
        <v>231</v>
      </c>
      <c r="E152" s="202"/>
      <c r="F152" s="203"/>
      <c r="G152" s="204"/>
      <c r="H152" s="265">
        <f>3288200+18200</f>
        <v>3306400</v>
      </c>
      <c r="I152" s="144">
        <v>3306400</v>
      </c>
      <c r="J152" s="145">
        <f>I152-H152</f>
        <v>0</v>
      </c>
      <c r="K152" s="272">
        <f>937600+368500+1800</f>
        <v>1307900</v>
      </c>
      <c r="L152" s="272">
        <f>200</f>
        <v>200</v>
      </c>
      <c r="M152" s="135">
        <f t="shared" si="122"/>
        <v>1308100</v>
      </c>
      <c r="N152" s="135">
        <f>1031000+951100+18200-1800</f>
        <v>1998500</v>
      </c>
      <c r="O152" s="135">
        <v>6500</v>
      </c>
      <c r="P152" s="135">
        <f t="shared" si="123"/>
        <v>3313100</v>
      </c>
      <c r="Q152" s="284">
        <v>1495833.72</v>
      </c>
      <c r="R152" s="285">
        <f>[1]VP!Q19-'[1]Operating Results'!Q152</f>
        <v>1651069.9700000004</v>
      </c>
      <c r="S152" s="148">
        <f t="shared" si="121"/>
        <v>3146903.6900000004</v>
      </c>
      <c r="T152" s="149">
        <f t="shared" si="117"/>
        <v>0.47533508087754656</v>
      </c>
      <c r="U152" s="224">
        <f t="shared" si="118"/>
        <v>-159496.30999999959</v>
      </c>
      <c r="V152" s="150">
        <f t="shared" si="119"/>
        <v>166196.30999999959</v>
      </c>
      <c r="W152" s="256">
        <f t="shared" si="120"/>
        <v>5.016338474540448E-2</v>
      </c>
      <c r="X152" s="253"/>
      <c r="Y152" s="254"/>
      <c r="Z152" s="186">
        <f>'[1]2021-22'!C900</f>
        <v>3051269.86</v>
      </c>
      <c r="AA152" s="255">
        <f>O152-Z152</f>
        <v>-3044769.86</v>
      </c>
      <c r="AB152" s="256">
        <f>IF(ISERR(AA152/Z152),"-",AA152/Z152)</f>
        <v>-0.99786973938778389</v>
      </c>
      <c r="AC152" s="254"/>
      <c r="AD152" s="186">
        <v>2727870.63</v>
      </c>
      <c r="AE152" s="255">
        <f>S152-AD152</f>
        <v>419033.06000000052</v>
      </c>
      <c r="AF152" s="256">
        <f>IF(ISERR(AE152/AD152),"-",AE152/AD152)</f>
        <v>0.15361177886944019</v>
      </c>
      <c r="AH152" s="186">
        <v>2597763.33</v>
      </c>
      <c r="AI152" s="255">
        <f>S152-AH152</f>
        <v>549140.36000000034</v>
      </c>
      <c r="AJ152" s="256">
        <f>IF(ISERR(AI152/AH152),"-",AI152/AH152)</f>
        <v>0.21138968036784178</v>
      </c>
    </row>
    <row r="153" spans="1:36" ht="13.35" hidden="1" customHeight="1" outlineLevel="1" x14ac:dyDescent="0.3">
      <c r="A153" s="358" t="s">
        <v>230</v>
      </c>
      <c r="B153" s="358" t="s">
        <v>232</v>
      </c>
      <c r="C153" s="162"/>
      <c r="D153" s="162"/>
      <c r="E153" s="322"/>
      <c r="F153" s="323"/>
      <c r="G153" s="324"/>
      <c r="H153" s="266">
        <v>1200</v>
      </c>
      <c r="I153" s="160">
        <v>1200</v>
      </c>
      <c r="J153" s="161">
        <f>I153-H153</f>
        <v>0</v>
      </c>
      <c r="K153" s="326">
        <v>1200</v>
      </c>
      <c r="L153" s="326"/>
      <c r="M153" s="163">
        <f t="shared" si="122"/>
        <v>1200</v>
      </c>
      <c r="N153" s="163">
        <v>-800</v>
      </c>
      <c r="O153" s="163"/>
      <c r="P153" s="163">
        <f t="shared" si="123"/>
        <v>400</v>
      </c>
      <c r="Q153" s="327"/>
      <c r="R153" s="328"/>
      <c r="S153" s="166">
        <f t="shared" si="121"/>
        <v>0</v>
      </c>
      <c r="T153" s="167" t="str">
        <f t="shared" si="117"/>
        <v>-</v>
      </c>
      <c r="U153" s="235">
        <f t="shared" si="118"/>
        <v>-1200</v>
      </c>
      <c r="V153" s="168">
        <f t="shared" si="119"/>
        <v>400</v>
      </c>
      <c r="W153" s="359">
        <f t="shared" si="120"/>
        <v>1</v>
      </c>
      <c r="X153" s="253"/>
      <c r="Y153" s="254"/>
      <c r="Z153" s="186"/>
      <c r="AA153" s="255"/>
      <c r="AB153" s="256"/>
      <c r="AC153" s="254"/>
      <c r="AD153" s="186"/>
      <c r="AE153" s="255"/>
      <c r="AF153" s="256"/>
      <c r="AH153" s="186"/>
      <c r="AI153" s="255"/>
      <c r="AJ153" s="256"/>
    </row>
    <row r="154" spans="1:36" ht="13.35" hidden="1" customHeight="1" outlineLevel="1" x14ac:dyDescent="0.3">
      <c r="A154" s="276" t="s">
        <v>233</v>
      </c>
      <c r="B154" s="276" t="s">
        <v>148</v>
      </c>
      <c r="E154" s="202"/>
      <c r="F154" s="203"/>
      <c r="G154" s="204"/>
      <c r="H154" s="265"/>
      <c r="I154" s="144"/>
      <c r="J154" s="145">
        <f>I154-H154</f>
        <v>0</v>
      </c>
      <c r="K154" s="272"/>
      <c r="L154" s="272"/>
      <c r="M154" s="135">
        <f t="shared" si="122"/>
        <v>0</v>
      </c>
      <c r="N154" s="135"/>
      <c r="O154" s="135"/>
      <c r="P154" s="135">
        <f t="shared" si="123"/>
        <v>0</v>
      </c>
      <c r="Q154" s="284"/>
      <c r="R154" s="285"/>
      <c r="S154" s="148">
        <f t="shared" si="121"/>
        <v>0</v>
      </c>
      <c r="T154" s="149" t="str">
        <f t="shared" si="117"/>
        <v>-</v>
      </c>
      <c r="U154" s="224">
        <f t="shared" si="118"/>
        <v>0</v>
      </c>
      <c r="V154" s="150">
        <f t="shared" si="119"/>
        <v>0</v>
      </c>
      <c r="W154" s="256" t="str">
        <f t="shared" si="120"/>
        <v>-</v>
      </c>
      <c r="X154" s="253"/>
      <c r="Y154" s="254"/>
      <c r="Z154" s="186">
        <f>'[1]2021-22'!C901</f>
        <v>232.52</v>
      </c>
      <c r="AA154" s="255">
        <f t="shared" ref="AA154:AA159" si="124">O154-Z154</f>
        <v>-232.52</v>
      </c>
      <c r="AB154" s="256">
        <f t="shared" ref="AB154:AB159" si="125">IF(ISERR(AA154/Z154),"-",AA154/Z154)</f>
        <v>-1</v>
      </c>
      <c r="AC154" s="254"/>
      <c r="AD154" s="186">
        <v>0</v>
      </c>
      <c r="AE154" s="255">
        <f t="shared" ref="AE154:AE159" si="126">S154-AD154</f>
        <v>0</v>
      </c>
      <c r="AF154" s="256" t="str">
        <f t="shared" ref="AF154:AF159" si="127">IF(ISERR(AE154/AD154),"-",AE154/AD154)</f>
        <v>-</v>
      </c>
      <c r="AH154" s="186">
        <v>14017</v>
      </c>
      <c r="AI154" s="255">
        <f t="shared" ref="AI154:AI159" si="128">S154-AH154</f>
        <v>-14017</v>
      </c>
      <c r="AJ154" s="256">
        <f>IF(ISERR(AI154/AH154),"-",AI154/AH154)</f>
        <v>-1</v>
      </c>
    </row>
    <row r="155" spans="1:36" ht="13.35" hidden="1" customHeight="1" outlineLevel="1" x14ac:dyDescent="0.3">
      <c r="A155" s="276" t="s">
        <v>234</v>
      </c>
      <c r="B155" s="276" t="s">
        <v>235</v>
      </c>
      <c r="E155" s="202"/>
      <c r="F155" s="203"/>
      <c r="G155" s="204"/>
      <c r="H155" s="265"/>
      <c r="I155" s="144"/>
      <c r="J155" s="145">
        <f>I155-H155</f>
        <v>0</v>
      </c>
      <c r="K155" s="272"/>
      <c r="L155" s="272"/>
      <c r="M155" s="135">
        <f t="shared" si="122"/>
        <v>0</v>
      </c>
      <c r="N155" s="135"/>
      <c r="O155" s="135"/>
      <c r="P155" s="135">
        <f t="shared" si="123"/>
        <v>0</v>
      </c>
      <c r="Q155" s="284">
        <v>68918.78</v>
      </c>
      <c r="R155" s="285">
        <f>100000-Q155</f>
        <v>31081.22</v>
      </c>
      <c r="S155" s="148">
        <f t="shared" si="121"/>
        <v>100000</v>
      </c>
      <c r="T155" s="149">
        <f t="shared" si="117"/>
        <v>0.68918780000000002</v>
      </c>
      <c r="U155" s="224">
        <f t="shared" si="118"/>
        <v>100000</v>
      </c>
      <c r="V155" s="150">
        <f t="shared" si="119"/>
        <v>-100000</v>
      </c>
      <c r="W155" s="256" t="str">
        <f t="shared" si="120"/>
        <v>-</v>
      </c>
      <c r="X155" s="253"/>
      <c r="Y155" s="254"/>
      <c r="Z155" s="186">
        <f>'[1]2021-22'!C902</f>
        <v>131938.21</v>
      </c>
      <c r="AA155" s="255">
        <f t="shared" si="124"/>
        <v>-131938.21</v>
      </c>
      <c r="AB155" s="256">
        <f t="shared" si="125"/>
        <v>-1</v>
      </c>
      <c r="AC155" s="254"/>
      <c r="AD155" s="186">
        <v>112565.65</v>
      </c>
      <c r="AE155" s="255">
        <f t="shared" si="126"/>
        <v>-12565.649999999994</v>
      </c>
      <c r="AF155" s="256">
        <f t="shared" si="127"/>
        <v>-0.11162952463740045</v>
      </c>
      <c r="AH155" s="186">
        <v>109062.56</v>
      </c>
      <c r="AI155" s="255">
        <f t="shared" si="128"/>
        <v>-9062.5599999999977</v>
      </c>
      <c r="AJ155" s="256">
        <f>IF(ISERR(AI155/AH155),"-",AI155/AH155)</f>
        <v>-8.3095060303004051E-2</v>
      </c>
    </row>
    <row r="156" spans="1:36" ht="13.35" hidden="1" customHeight="1" outlineLevel="1" x14ac:dyDescent="0.3">
      <c r="A156" s="64" t="s">
        <v>236</v>
      </c>
      <c r="B156" s="64" t="s">
        <v>237</v>
      </c>
      <c r="E156" s="202"/>
      <c r="F156" s="203"/>
      <c r="G156" s="204"/>
      <c r="H156" s="265"/>
      <c r="I156" s="144"/>
      <c r="J156" s="145">
        <f t="shared" ref="J156:J157" si="129">I156-H156</f>
        <v>0</v>
      </c>
      <c r="K156" s="272"/>
      <c r="L156" s="272"/>
      <c r="M156" s="135">
        <f t="shared" si="122"/>
        <v>0</v>
      </c>
      <c r="N156" s="135"/>
      <c r="O156" s="135"/>
      <c r="P156" s="135">
        <f t="shared" si="123"/>
        <v>0</v>
      </c>
      <c r="Q156" s="284"/>
      <c r="R156" s="285"/>
      <c r="S156" s="148">
        <f t="shared" si="121"/>
        <v>0</v>
      </c>
      <c r="T156" s="149" t="str">
        <f t="shared" si="117"/>
        <v>-</v>
      </c>
      <c r="U156" s="224">
        <f t="shared" si="118"/>
        <v>0</v>
      </c>
      <c r="V156" s="150">
        <f t="shared" si="119"/>
        <v>0</v>
      </c>
      <c r="W156" s="256" t="str">
        <f t="shared" si="120"/>
        <v>-</v>
      </c>
      <c r="X156" s="253"/>
      <c r="Y156" s="254"/>
      <c r="Z156" s="186">
        <f>'[1]2021-22'!C903</f>
        <v>490934.3</v>
      </c>
      <c r="AA156" s="255">
        <f t="shared" si="124"/>
        <v>-490934.3</v>
      </c>
      <c r="AB156" s="256">
        <f t="shared" si="125"/>
        <v>-1</v>
      </c>
      <c r="AC156" s="254"/>
      <c r="AD156" s="186">
        <v>378287.79</v>
      </c>
      <c r="AE156" s="255">
        <f t="shared" si="126"/>
        <v>-378287.79</v>
      </c>
      <c r="AF156" s="256">
        <f t="shared" si="127"/>
        <v>-1</v>
      </c>
      <c r="AH156" s="186">
        <v>330379.43</v>
      </c>
      <c r="AI156" s="255">
        <f t="shared" si="128"/>
        <v>-330379.43</v>
      </c>
      <c r="AJ156" s="256">
        <f t="shared" ref="AJ156:AJ157" si="130">IF(ISERR(AI156/AH156),"-",AI156/AH156)</f>
        <v>-1</v>
      </c>
    </row>
    <row r="157" spans="1:36" ht="13.35" hidden="1" customHeight="1" outlineLevel="1" x14ac:dyDescent="0.3">
      <c r="A157" s="64" t="s">
        <v>238</v>
      </c>
      <c r="B157" s="64" t="s">
        <v>239</v>
      </c>
      <c r="E157" s="202"/>
      <c r="F157" s="203"/>
      <c r="G157" s="204"/>
      <c r="H157" s="265"/>
      <c r="I157" s="144"/>
      <c r="J157" s="145">
        <f t="shared" si="129"/>
        <v>0</v>
      </c>
      <c r="K157" s="272"/>
      <c r="L157" s="272"/>
      <c r="M157" s="135">
        <f t="shared" si="122"/>
        <v>0</v>
      </c>
      <c r="N157" s="135"/>
      <c r="O157" s="135"/>
      <c r="P157" s="135">
        <f t="shared" si="123"/>
        <v>0</v>
      </c>
      <c r="Q157" s="284"/>
      <c r="R157" s="285"/>
      <c r="S157" s="148">
        <f t="shared" si="121"/>
        <v>0</v>
      </c>
      <c r="T157" s="149" t="str">
        <f t="shared" si="117"/>
        <v>-</v>
      </c>
      <c r="U157" s="224">
        <f t="shared" si="118"/>
        <v>0</v>
      </c>
      <c r="V157" s="150">
        <f t="shared" si="119"/>
        <v>0</v>
      </c>
      <c r="W157" s="256" t="str">
        <f t="shared" si="120"/>
        <v>-</v>
      </c>
      <c r="X157" s="253"/>
      <c r="Y157" s="254"/>
      <c r="Z157" s="186">
        <f>'[1]2021-22'!C904</f>
        <v>8662</v>
      </c>
      <c r="AA157" s="255">
        <f t="shared" si="124"/>
        <v>-8662</v>
      </c>
      <c r="AB157" s="256">
        <f t="shared" si="125"/>
        <v>-1</v>
      </c>
      <c r="AC157" s="254"/>
      <c r="AD157" s="186">
        <v>30867</v>
      </c>
      <c r="AE157" s="255">
        <f t="shared" si="126"/>
        <v>-30867</v>
      </c>
      <c r="AF157" s="256">
        <f t="shared" si="127"/>
        <v>-1</v>
      </c>
      <c r="AH157" s="186">
        <v>20145</v>
      </c>
      <c r="AI157" s="255">
        <f t="shared" si="128"/>
        <v>-20145</v>
      </c>
      <c r="AJ157" s="256">
        <f t="shared" si="130"/>
        <v>-1</v>
      </c>
    </row>
    <row r="158" spans="1:36" ht="13.35" hidden="1" customHeight="1" outlineLevel="1" x14ac:dyDescent="0.3">
      <c r="A158" s="64" t="s">
        <v>240</v>
      </c>
      <c r="B158" s="64" t="s">
        <v>241</v>
      </c>
      <c r="E158" s="202"/>
      <c r="F158" s="203"/>
      <c r="G158" s="204"/>
      <c r="H158" s="270">
        <f>176900+2200</f>
        <v>179100</v>
      </c>
      <c r="I158" s="177">
        <v>209000</v>
      </c>
      <c r="J158" s="145">
        <f>I158-H158</f>
        <v>29900</v>
      </c>
      <c r="K158" s="272"/>
      <c r="L158" s="272">
        <v>100</v>
      </c>
      <c r="M158" s="135">
        <f t="shared" si="122"/>
        <v>100</v>
      </c>
      <c r="N158" s="135"/>
      <c r="O158" s="135">
        <f>176900+2200+29900</f>
        <v>209000</v>
      </c>
      <c r="P158" s="135">
        <f t="shared" si="123"/>
        <v>209100</v>
      </c>
      <c r="Q158" s="284">
        <v>113872.72</v>
      </c>
      <c r="R158" s="285">
        <f>'[1]Group Ins'!I15-'[1]Operating Results'!Q158</f>
        <v>157954.99999999997</v>
      </c>
      <c r="S158" s="148">
        <f t="shared" si="121"/>
        <v>271827.71999999997</v>
      </c>
      <c r="T158" s="149">
        <f t="shared" si="117"/>
        <v>0.4189150392756118</v>
      </c>
      <c r="U158" s="224">
        <f t="shared" si="118"/>
        <v>62827.719999999972</v>
      </c>
      <c r="V158" s="150">
        <f t="shared" si="119"/>
        <v>-62727.719999999972</v>
      </c>
      <c r="W158" s="256">
        <f t="shared" si="120"/>
        <v>-0.29998909612625524</v>
      </c>
      <c r="X158" s="253"/>
      <c r="Y158" s="254"/>
      <c r="Z158" s="186">
        <f>'[1]2021-22'!C905</f>
        <v>208628.01</v>
      </c>
      <c r="AA158" s="255">
        <f t="shared" si="124"/>
        <v>371.98999999999069</v>
      </c>
      <c r="AB158" s="256">
        <f t="shared" si="125"/>
        <v>1.7830299967870598E-3</v>
      </c>
      <c r="AC158" s="254"/>
      <c r="AD158" s="186">
        <v>91523.72</v>
      </c>
      <c r="AE158" s="255">
        <f t="shared" si="126"/>
        <v>180303.99999999997</v>
      </c>
      <c r="AF158" s="256">
        <f t="shared" si="127"/>
        <v>1.9700248197953489</v>
      </c>
      <c r="AH158" s="186">
        <v>86854.12</v>
      </c>
      <c r="AI158" s="255">
        <f t="shared" si="128"/>
        <v>184973.59999999998</v>
      </c>
      <c r="AJ158" s="256">
        <f>IF(ISERR(AI158/AH158),"-",AI158/AH158)</f>
        <v>2.1297043824748898</v>
      </c>
    </row>
    <row r="159" spans="1:36" ht="13.35" hidden="1" customHeight="1" outlineLevel="1" x14ac:dyDescent="0.3">
      <c r="A159" s="276" t="s">
        <v>242</v>
      </c>
      <c r="B159" s="276" t="s">
        <v>243</v>
      </c>
      <c r="C159" s="138"/>
      <c r="D159" s="138"/>
      <c r="E159" s="354"/>
      <c r="F159" s="355"/>
      <c r="G159" s="356"/>
      <c r="H159" s="270">
        <f>9818100+81100</f>
        <v>9899200</v>
      </c>
      <c r="I159" s="144">
        <v>9899200</v>
      </c>
      <c r="J159" s="145">
        <f>I159-H159</f>
        <v>0</v>
      </c>
      <c r="K159" s="360">
        <f>2878800+2240500+27000</f>
        <v>5146300</v>
      </c>
      <c r="L159" s="360">
        <f>900+3300</f>
        <v>4200</v>
      </c>
      <c r="M159" s="135">
        <f>K159+L159</f>
        <v>5150500</v>
      </c>
      <c r="N159" s="135">
        <f>1154500+3543500+81900-27000</f>
        <v>4752900</v>
      </c>
      <c r="O159" s="135">
        <v>71100</v>
      </c>
      <c r="P159" s="135">
        <f>M159+N159+O159</f>
        <v>9974500</v>
      </c>
      <c r="Q159" s="357">
        <v>5743504.6900000004</v>
      </c>
      <c r="R159" s="353">
        <f>[1]CPP!Q20-'[1]Operating Results'!Q159</f>
        <v>4142558.919999999</v>
      </c>
      <c r="S159" s="148">
        <f t="shared" si="121"/>
        <v>9886063.6099999994</v>
      </c>
      <c r="T159" s="149">
        <f>IF(ISERR(Q159/S159),"-",Q159/S159)</f>
        <v>0.58096982950729781</v>
      </c>
      <c r="U159" s="224">
        <f>S159-I159</f>
        <v>-13136.390000000596</v>
      </c>
      <c r="V159" s="150">
        <f>P159-S159</f>
        <v>88436.390000000596</v>
      </c>
      <c r="W159" s="256">
        <f t="shared" si="120"/>
        <v>8.8662479322272388E-3</v>
      </c>
      <c r="X159" s="184"/>
      <c r="Y159" s="185"/>
      <c r="Z159" s="186">
        <f>'[1]2021-22'!C906</f>
        <v>9063423.1199999992</v>
      </c>
      <c r="AA159" s="255">
        <f t="shared" si="124"/>
        <v>-8992323.1199999992</v>
      </c>
      <c r="AB159" s="256">
        <f t="shared" si="125"/>
        <v>-0.99215528183351542</v>
      </c>
      <c r="AC159" s="185"/>
      <c r="AD159" s="186">
        <v>7524502.54</v>
      </c>
      <c r="AE159" s="255">
        <f t="shared" si="126"/>
        <v>2361561.0699999994</v>
      </c>
      <c r="AF159" s="256">
        <f t="shared" si="127"/>
        <v>0.31384946146885073</v>
      </c>
      <c r="AH159" s="186">
        <v>7062262.5199999996</v>
      </c>
      <c r="AI159" s="255">
        <f t="shared" si="128"/>
        <v>2823801.09</v>
      </c>
      <c r="AJ159" s="256">
        <f t="shared" ref="AJ159:AJ170" si="131">IF(ISERR(AI159/AH159),"-",AI159/AH159)</f>
        <v>0.39984368777047385</v>
      </c>
    </row>
    <row r="160" spans="1:36" ht="13.35" hidden="1" customHeight="1" outlineLevel="1" x14ac:dyDescent="0.3">
      <c r="A160" s="358" t="s">
        <v>242</v>
      </c>
      <c r="B160" s="358" t="s">
        <v>244</v>
      </c>
      <c r="C160" s="361"/>
      <c r="D160" s="361"/>
      <c r="E160" s="362"/>
      <c r="F160" s="363"/>
      <c r="G160" s="364"/>
      <c r="H160" s="365">
        <v>1600</v>
      </c>
      <c r="I160" s="160">
        <v>1600</v>
      </c>
      <c r="J160" s="161">
        <f>I160-H160</f>
        <v>0</v>
      </c>
      <c r="K160" s="366">
        <v>2400</v>
      </c>
      <c r="L160" s="366"/>
      <c r="M160" s="163">
        <f>K160+L160</f>
        <v>2400</v>
      </c>
      <c r="N160" s="163"/>
      <c r="O160" s="163"/>
      <c r="P160" s="163">
        <f>M160+N160+O160</f>
        <v>2400</v>
      </c>
      <c r="Q160" s="367"/>
      <c r="R160" s="368"/>
      <c r="S160" s="166">
        <f t="shared" si="121"/>
        <v>0</v>
      </c>
      <c r="T160" s="167" t="str">
        <f>IF(ISERR(Q160/S160),"-",Q160/S160)</f>
        <v>-</v>
      </c>
      <c r="U160" s="235">
        <f>S160-I160</f>
        <v>-1600</v>
      </c>
      <c r="V160" s="168">
        <f>P160-S160</f>
        <v>2400</v>
      </c>
      <c r="W160" s="359">
        <f t="shared" si="120"/>
        <v>1</v>
      </c>
      <c r="X160" s="184"/>
      <c r="Y160" s="185"/>
      <c r="Z160" s="186"/>
      <c r="AA160" s="255"/>
      <c r="AB160" s="256"/>
      <c r="AC160" s="185"/>
      <c r="AD160" s="186"/>
      <c r="AE160" s="255"/>
      <c r="AF160" s="256"/>
      <c r="AH160" s="186"/>
      <c r="AI160" s="255"/>
      <c r="AJ160" s="256"/>
    </row>
    <row r="161" spans="1:36" ht="13.35" hidden="1" customHeight="1" outlineLevel="1" x14ac:dyDescent="0.3">
      <c r="A161" s="64" t="s">
        <v>245</v>
      </c>
      <c r="B161" s="64" t="s">
        <v>246</v>
      </c>
      <c r="E161" s="202"/>
      <c r="F161" s="203"/>
      <c r="G161" s="204"/>
      <c r="H161" s="270">
        <v>2286800</v>
      </c>
      <c r="I161" s="144">
        <v>2286800</v>
      </c>
      <c r="J161" s="145">
        <f t="shared" ref="J161:J169" si="132">I161-H161</f>
        <v>0</v>
      </c>
      <c r="K161" s="272">
        <f>625700+321500</f>
        <v>947200</v>
      </c>
      <c r="L161" s="272"/>
      <c r="M161" s="135">
        <f t="shared" si="122"/>
        <v>947200</v>
      </c>
      <c r="N161" s="135">
        <f>765200+574500</f>
        <v>1339700</v>
      </c>
      <c r="O161" s="135"/>
      <c r="P161" s="135">
        <f t="shared" si="123"/>
        <v>2286900</v>
      </c>
      <c r="Q161" s="284">
        <v>1005004.41</v>
      </c>
      <c r="R161" s="285">
        <f>'[1]Blue Cross'!I15-'[1]Operating Results'!Q161</f>
        <v>1375515.17</v>
      </c>
      <c r="S161" s="148">
        <f t="shared" si="121"/>
        <v>2380519.58</v>
      </c>
      <c r="T161" s="149">
        <f t="shared" si="117"/>
        <v>0.42217859430502985</v>
      </c>
      <c r="U161" s="224">
        <f t="shared" si="118"/>
        <v>93719.580000000075</v>
      </c>
      <c r="V161" s="150">
        <f t="shared" si="119"/>
        <v>-93619.580000000075</v>
      </c>
      <c r="W161" s="256">
        <f t="shared" si="120"/>
        <v>-4.0937330010057317E-2</v>
      </c>
      <c r="X161" s="184"/>
      <c r="Y161" s="185"/>
      <c r="Z161" s="186">
        <f>'[1]2021-22'!C907</f>
        <v>2187648.86</v>
      </c>
      <c r="AA161" s="255">
        <f>O161-Z161</f>
        <v>-2187648.86</v>
      </c>
      <c r="AB161" s="256">
        <f>IF(ISERR(AA161/Z161),"-",AA161/Z161)</f>
        <v>-1</v>
      </c>
      <c r="AC161" s="185"/>
      <c r="AD161" s="186">
        <v>1978213.57</v>
      </c>
      <c r="AE161" s="255">
        <f>S161-AD161</f>
        <v>402306.01</v>
      </c>
      <c r="AF161" s="256">
        <f>IF(ISERR(AE161/AD161),"-",AE161/AD161)</f>
        <v>0.20336834005238372</v>
      </c>
      <c r="AH161" s="186">
        <v>1920431.17</v>
      </c>
      <c r="AI161" s="255">
        <f>S161-AH161</f>
        <v>460088.41000000015</v>
      </c>
      <c r="AJ161" s="256">
        <f t="shared" si="131"/>
        <v>0.23957557926952422</v>
      </c>
    </row>
    <row r="162" spans="1:36" ht="13.35" hidden="1" customHeight="1" outlineLevel="1" x14ac:dyDescent="0.3">
      <c r="A162" s="276" t="s">
        <v>247</v>
      </c>
      <c r="B162" s="276" t="s">
        <v>248</v>
      </c>
      <c r="C162" s="138"/>
      <c r="D162" s="138"/>
      <c r="E162" s="354"/>
      <c r="F162" s="355"/>
      <c r="G162" s="356"/>
      <c r="H162" s="270">
        <f>3448800+28800</f>
        <v>3477600</v>
      </c>
      <c r="I162" s="144">
        <v>3477600</v>
      </c>
      <c r="J162" s="145">
        <f t="shared" si="132"/>
        <v>0</v>
      </c>
      <c r="K162" s="360">
        <f>1066600+718300+9500</f>
        <v>1794400</v>
      </c>
      <c r="L162" s="360">
        <f>400+1100</f>
        <v>1500</v>
      </c>
      <c r="M162" s="135">
        <f t="shared" si="122"/>
        <v>1795900</v>
      </c>
      <c r="N162" s="135">
        <f>417600+1245900+29200-9500</f>
        <v>1683200</v>
      </c>
      <c r="O162" s="135">
        <v>24400</v>
      </c>
      <c r="P162" s="135">
        <f t="shared" si="123"/>
        <v>3503500</v>
      </c>
      <c r="Q162" s="357">
        <v>2099463.98</v>
      </c>
      <c r="R162" s="353">
        <f>[1]EI!Q19-'[1]Operating Results'!Q162</f>
        <v>1535820.5199999996</v>
      </c>
      <c r="S162" s="148">
        <f t="shared" si="121"/>
        <v>3635284.4999999995</v>
      </c>
      <c r="T162" s="149">
        <f t="shared" si="117"/>
        <v>0.57752398196069665</v>
      </c>
      <c r="U162" s="224">
        <f t="shared" si="118"/>
        <v>157684.49999999953</v>
      </c>
      <c r="V162" s="150">
        <f t="shared" si="119"/>
        <v>-131784.49999999953</v>
      </c>
      <c r="W162" s="256">
        <f t="shared" si="120"/>
        <v>-3.7615099186527626E-2</v>
      </c>
      <c r="X162" s="184"/>
      <c r="Y162" s="185"/>
      <c r="Z162" s="186">
        <f>'[1]2021-22'!C908</f>
        <v>3349822.82</v>
      </c>
      <c r="AA162" s="255">
        <f>O162-Z162</f>
        <v>-3325422.82</v>
      </c>
      <c r="AB162" s="256">
        <f>IF(ISERR(AA162/Z162),"-",AA162/Z162)</f>
        <v>-0.9927160326646769</v>
      </c>
      <c r="AC162" s="185"/>
      <c r="AD162" s="186">
        <v>3086338.97</v>
      </c>
      <c r="AE162" s="255">
        <f>S162-AD162</f>
        <v>548945.52999999933</v>
      </c>
      <c r="AF162" s="256">
        <f>IF(ISERR(AE162/AD162),"-",AE162/AD162)</f>
        <v>0.17786300705654481</v>
      </c>
      <c r="AH162" s="186">
        <v>3078398.05</v>
      </c>
      <c r="AI162" s="255">
        <f>S162-AH162</f>
        <v>556886.44999999972</v>
      </c>
      <c r="AJ162" s="256">
        <f t="shared" si="131"/>
        <v>0.18090137823469571</v>
      </c>
    </row>
    <row r="163" spans="1:36" ht="13.35" hidden="1" customHeight="1" outlineLevel="1" x14ac:dyDescent="0.3">
      <c r="A163" s="358" t="s">
        <v>247</v>
      </c>
      <c r="B163" s="358" t="s">
        <v>249</v>
      </c>
      <c r="C163" s="361"/>
      <c r="D163" s="361"/>
      <c r="E163" s="362"/>
      <c r="F163" s="363"/>
      <c r="G163" s="364"/>
      <c r="H163" s="365">
        <v>600</v>
      </c>
      <c r="I163" s="160">
        <v>600</v>
      </c>
      <c r="J163" s="161">
        <f t="shared" si="132"/>
        <v>0</v>
      </c>
      <c r="K163" s="366">
        <v>1000</v>
      </c>
      <c r="L163" s="366"/>
      <c r="M163" s="163">
        <f t="shared" si="122"/>
        <v>1000</v>
      </c>
      <c r="N163" s="163">
        <v>-400</v>
      </c>
      <c r="O163" s="163"/>
      <c r="P163" s="163">
        <f t="shared" si="123"/>
        <v>600</v>
      </c>
      <c r="Q163" s="367"/>
      <c r="R163" s="368"/>
      <c r="S163" s="166">
        <f t="shared" si="121"/>
        <v>0</v>
      </c>
      <c r="T163" s="167" t="str">
        <f t="shared" si="117"/>
        <v>-</v>
      </c>
      <c r="U163" s="235">
        <f t="shared" si="118"/>
        <v>-600</v>
      </c>
      <c r="V163" s="168">
        <f t="shared" si="119"/>
        <v>600</v>
      </c>
      <c r="W163" s="359">
        <f t="shared" si="120"/>
        <v>1</v>
      </c>
      <c r="X163" s="184"/>
      <c r="Y163" s="185"/>
      <c r="Z163" s="186"/>
      <c r="AA163" s="255"/>
      <c r="AB163" s="256"/>
      <c r="AC163" s="185"/>
      <c r="AD163" s="186"/>
      <c r="AE163" s="255"/>
      <c r="AF163" s="256"/>
      <c r="AH163" s="186"/>
      <c r="AI163" s="255"/>
      <c r="AJ163" s="256"/>
    </row>
    <row r="164" spans="1:36" ht="13.35" hidden="1" customHeight="1" outlineLevel="1" x14ac:dyDescent="0.3">
      <c r="A164" s="276" t="s">
        <v>250</v>
      </c>
      <c r="B164" s="276" t="s">
        <v>251</v>
      </c>
      <c r="C164" s="138"/>
      <c r="D164" s="138"/>
      <c r="E164" s="354"/>
      <c r="F164" s="355"/>
      <c r="G164" s="356"/>
      <c r="H164" s="186">
        <v>137600</v>
      </c>
      <c r="I164" s="144">
        <v>137600</v>
      </c>
      <c r="J164" s="145">
        <f t="shared" si="132"/>
        <v>0</v>
      </c>
      <c r="K164" s="360"/>
      <c r="L164" s="360"/>
      <c r="M164" s="135">
        <f t="shared" si="122"/>
        <v>0</v>
      </c>
      <c r="N164" s="135"/>
      <c r="O164" s="135">
        <v>137600</v>
      </c>
      <c r="P164" s="135">
        <f t="shared" si="123"/>
        <v>137600</v>
      </c>
      <c r="Q164" s="357">
        <v>0</v>
      </c>
      <c r="R164" s="353">
        <f>P164-Q164</f>
        <v>137600</v>
      </c>
      <c r="S164" s="148">
        <f t="shared" si="121"/>
        <v>137600</v>
      </c>
      <c r="T164" s="149">
        <f t="shared" si="117"/>
        <v>0</v>
      </c>
      <c r="U164" s="224">
        <f t="shared" si="118"/>
        <v>0</v>
      </c>
      <c r="V164" s="150">
        <f t="shared" si="119"/>
        <v>0</v>
      </c>
      <c r="W164" s="256">
        <f t="shared" si="120"/>
        <v>0</v>
      </c>
      <c r="X164" s="184"/>
      <c r="Y164" s="185"/>
      <c r="Z164" s="186">
        <f>'[1]2021-22'!C910</f>
        <v>146721</v>
      </c>
      <c r="AA164" s="255">
        <f>O164-Z164</f>
        <v>-9121</v>
      </c>
      <c r="AB164" s="256">
        <f>IF(ISERR(AA164/Z164),"-",AA164/Z164)</f>
        <v>-6.2165606832014504E-2</v>
      </c>
      <c r="AC164" s="185"/>
      <c r="AD164" s="186">
        <v>123840</v>
      </c>
      <c r="AE164" s="255">
        <f>S164-AD164</f>
        <v>13760</v>
      </c>
      <c r="AF164" s="256">
        <f>IF(ISERR(AE164/AD164),"-",AE164/AD164)</f>
        <v>0.1111111111111111</v>
      </c>
      <c r="AH164" s="186">
        <v>120958.26</v>
      </c>
      <c r="AI164" s="255">
        <f>S164-AH164</f>
        <v>16641.740000000005</v>
      </c>
      <c r="AJ164" s="256">
        <f t="shared" si="131"/>
        <v>0.1375825016001388</v>
      </c>
    </row>
    <row r="165" spans="1:36" ht="13.35" hidden="1" customHeight="1" outlineLevel="1" x14ac:dyDescent="0.3">
      <c r="A165" s="276" t="s">
        <v>252</v>
      </c>
      <c r="B165" s="276" t="s">
        <v>253</v>
      </c>
      <c r="C165" s="138"/>
      <c r="D165" s="138"/>
      <c r="E165" s="354"/>
      <c r="F165" s="355"/>
      <c r="G165" s="356"/>
      <c r="H165" s="186">
        <v>38600</v>
      </c>
      <c r="I165" s="144">
        <v>38600</v>
      </c>
      <c r="J165" s="145">
        <f t="shared" si="132"/>
        <v>0</v>
      </c>
      <c r="K165" s="360"/>
      <c r="L165" s="360"/>
      <c r="M165" s="135">
        <f t="shared" si="122"/>
        <v>0</v>
      </c>
      <c r="N165" s="135"/>
      <c r="O165" s="135">
        <v>38600</v>
      </c>
      <c r="P165" s="135">
        <f t="shared" si="123"/>
        <v>38600</v>
      </c>
      <c r="Q165" s="357">
        <v>26700</v>
      </c>
      <c r="R165" s="353">
        <f>P165-Q165</f>
        <v>11900</v>
      </c>
      <c r="S165" s="148">
        <f t="shared" si="121"/>
        <v>38600</v>
      </c>
      <c r="T165" s="149">
        <f t="shared" si="117"/>
        <v>0.69170984455958551</v>
      </c>
      <c r="U165" s="224">
        <f t="shared" si="118"/>
        <v>0</v>
      </c>
      <c r="V165" s="150">
        <f t="shared" si="119"/>
        <v>0</v>
      </c>
      <c r="W165" s="256">
        <f t="shared" si="120"/>
        <v>0</v>
      </c>
      <c r="X165" s="184"/>
      <c r="Y165" s="185"/>
      <c r="Z165" s="186">
        <f>'[1]2021-22'!C911</f>
        <v>24860.87</v>
      </c>
      <c r="AA165" s="255">
        <f>O165-Z165</f>
        <v>13739.130000000001</v>
      </c>
      <c r="AB165" s="256">
        <f>IF(ISERR(AA165/Z165),"-",AA165/Z165)</f>
        <v>0.55264075633716769</v>
      </c>
      <c r="AC165" s="185"/>
      <c r="AD165" s="186">
        <v>25252.17</v>
      </c>
      <c r="AE165" s="255">
        <f>S165-AD165</f>
        <v>13347.830000000002</v>
      </c>
      <c r="AF165" s="256">
        <f>IF(ISERR(AE165/AD165),"-",AE165/AD165)</f>
        <v>0.52858150408459958</v>
      </c>
      <c r="AH165" s="186">
        <v>27150</v>
      </c>
      <c r="AI165" s="255">
        <f>S165-AH165</f>
        <v>11450</v>
      </c>
      <c r="AJ165" s="256">
        <f t="shared" si="131"/>
        <v>0.42173112338858193</v>
      </c>
    </row>
    <row r="166" spans="1:36" ht="13.35" hidden="1" customHeight="1" outlineLevel="1" x14ac:dyDescent="0.3">
      <c r="A166" s="276" t="s">
        <v>254</v>
      </c>
      <c r="B166" s="276" t="s">
        <v>255</v>
      </c>
      <c r="C166" s="138"/>
      <c r="D166" s="138"/>
      <c r="E166" s="354"/>
      <c r="F166" s="355"/>
      <c r="G166" s="356"/>
      <c r="H166" s="186">
        <v>20300</v>
      </c>
      <c r="I166" s="144">
        <v>20300</v>
      </c>
      <c r="J166" s="145">
        <f t="shared" si="132"/>
        <v>0</v>
      </c>
      <c r="K166" s="360"/>
      <c r="L166" s="360"/>
      <c r="M166" s="135">
        <f t="shared" si="122"/>
        <v>0</v>
      </c>
      <c r="N166" s="135"/>
      <c r="O166" s="135">
        <v>20300</v>
      </c>
      <c r="P166" s="135">
        <f t="shared" si="123"/>
        <v>20300</v>
      </c>
      <c r="Q166" s="357">
        <v>3188.8</v>
      </c>
      <c r="R166" s="353">
        <f>P166-Q166</f>
        <v>17111.2</v>
      </c>
      <c r="S166" s="148">
        <f t="shared" si="121"/>
        <v>20300</v>
      </c>
      <c r="T166" s="149">
        <f t="shared" si="117"/>
        <v>0.15708374384236454</v>
      </c>
      <c r="U166" s="224">
        <f t="shared" si="118"/>
        <v>0</v>
      </c>
      <c r="V166" s="150">
        <f t="shared" si="119"/>
        <v>0</v>
      </c>
      <c r="W166" s="256">
        <f t="shared" si="120"/>
        <v>0</v>
      </c>
      <c r="X166" s="184"/>
      <c r="Y166" s="185"/>
      <c r="Z166" s="186">
        <f>'[1]2021-22'!C912</f>
        <v>5565.65</v>
      </c>
      <c r="AA166" s="255">
        <f>O166-Z166</f>
        <v>14734.35</v>
      </c>
      <c r="AB166" s="256">
        <f>IF(ISERR(AA166/Z166),"-",AA166/Z166)</f>
        <v>2.6473727237609266</v>
      </c>
      <c r="AC166" s="185"/>
      <c r="AD166" s="186">
        <v>5785.4</v>
      </c>
      <c r="AE166" s="255">
        <f>S166-AD166</f>
        <v>14514.6</v>
      </c>
      <c r="AF166" s="256">
        <f>IF(ISERR(AE166/AD166),"-",AE166/AD166)</f>
        <v>2.5088325785598231</v>
      </c>
      <c r="AH166" s="186">
        <v>6738</v>
      </c>
      <c r="AI166" s="255">
        <f>S166-AH166</f>
        <v>13562</v>
      </c>
      <c r="AJ166" s="256">
        <f t="shared" si="131"/>
        <v>2.012763431285248</v>
      </c>
    </row>
    <row r="167" spans="1:36" ht="13.35" hidden="1" customHeight="1" outlineLevel="1" x14ac:dyDescent="0.3">
      <c r="A167" s="64" t="s">
        <v>256</v>
      </c>
      <c r="B167" s="64" t="s">
        <v>257</v>
      </c>
      <c r="E167" s="202"/>
      <c r="F167" s="203"/>
      <c r="G167" s="204"/>
      <c r="H167" s="186">
        <f>3300+22700</f>
        <v>26000</v>
      </c>
      <c r="I167" s="144">
        <v>26000</v>
      </c>
      <c r="J167" s="145">
        <f t="shared" si="132"/>
        <v>0</v>
      </c>
      <c r="K167" s="272">
        <f>78300+42500+800</f>
        <v>121600</v>
      </c>
      <c r="L167" s="272"/>
      <c r="M167" s="135">
        <f t="shared" si="122"/>
        <v>121600</v>
      </c>
      <c r="N167" s="135">
        <f>41900+268500+8000-800</f>
        <v>317600</v>
      </c>
      <c r="O167" s="135">
        <f>-413200+400</f>
        <v>-412800</v>
      </c>
      <c r="P167" s="135">
        <f t="shared" si="123"/>
        <v>26400</v>
      </c>
      <c r="Q167" s="284">
        <f>3400+51338.11</f>
        <v>54738.11</v>
      </c>
      <c r="R167" s="285">
        <f>P167-Q167</f>
        <v>-28338.11</v>
      </c>
      <c r="S167" s="148">
        <f t="shared" si="121"/>
        <v>26400</v>
      </c>
      <c r="T167" s="149">
        <f t="shared" si="117"/>
        <v>2.0734132575757576</v>
      </c>
      <c r="U167" s="224">
        <f t="shared" si="118"/>
        <v>400</v>
      </c>
      <c r="V167" s="150">
        <f t="shared" si="119"/>
        <v>0</v>
      </c>
      <c r="W167" s="256">
        <f t="shared" si="120"/>
        <v>0</v>
      </c>
      <c r="X167" s="184"/>
      <c r="Y167" s="185"/>
      <c r="Z167" s="186">
        <f>'[1]2021-22'!C913+SUM('[1]2021-22'!C915:C932)</f>
        <v>86987.33</v>
      </c>
      <c r="AA167" s="255">
        <f>O167-Z167</f>
        <v>-499787.33</v>
      </c>
      <c r="AB167" s="256">
        <f>IF(ISERR(AA167/Z167),"-",AA167/Z167)</f>
        <v>-5.7455186864569816</v>
      </c>
      <c r="AC167" s="185"/>
      <c r="AD167" s="186">
        <v>9971.1299999999992</v>
      </c>
      <c r="AE167" s="255">
        <f>S167-AD167</f>
        <v>16428.870000000003</v>
      </c>
      <c r="AF167" s="256">
        <f>IF(ISERR(AE167/AD167),"-",AE167/AD167)</f>
        <v>1.6476437474990302</v>
      </c>
      <c r="AH167" s="186">
        <v>69031.079999999987</v>
      </c>
      <c r="AI167" s="255">
        <f>S167-AH167</f>
        <v>-42631.079999999987</v>
      </c>
      <c r="AJ167" s="256">
        <f t="shared" si="131"/>
        <v>-0.61756356701937731</v>
      </c>
    </row>
    <row r="168" spans="1:36" ht="13.35" hidden="1" customHeight="1" outlineLevel="1" x14ac:dyDescent="0.3">
      <c r="A168" s="321" t="s">
        <v>256</v>
      </c>
      <c r="B168" s="321" t="s">
        <v>258</v>
      </c>
      <c r="C168" s="162"/>
      <c r="D168" s="162"/>
      <c r="E168" s="322"/>
      <c r="F168" s="323"/>
      <c r="G168" s="324"/>
      <c r="H168" s="325"/>
      <c r="I168" s="160"/>
      <c r="J168" s="161">
        <f t="shared" si="132"/>
        <v>0</v>
      </c>
      <c r="K168" s="326">
        <v>100</v>
      </c>
      <c r="L168" s="326"/>
      <c r="M168" s="163">
        <f t="shared" si="122"/>
        <v>100</v>
      </c>
      <c r="N168" s="163">
        <v>-100</v>
      </c>
      <c r="O168" s="163"/>
      <c r="P168" s="163">
        <f t="shared" si="123"/>
        <v>0</v>
      </c>
      <c r="Q168" s="327"/>
      <c r="R168" s="328"/>
      <c r="S168" s="166">
        <f t="shared" si="121"/>
        <v>0</v>
      </c>
      <c r="T168" s="167" t="str">
        <f t="shared" si="117"/>
        <v>-</v>
      </c>
      <c r="U168" s="235">
        <f t="shared" si="118"/>
        <v>0</v>
      </c>
      <c r="V168" s="168">
        <f t="shared" si="119"/>
        <v>0</v>
      </c>
      <c r="W168" s="359" t="str">
        <f t="shared" si="120"/>
        <v>-</v>
      </c>
      <c r="X168" s="184"/>
      <c r="Y168" s="185"/>
      <c r="Z168" s="186"/>
      <c r="AA168" s="255"/>
      <c r="AB168" s="256"/>
      <c r="AC168" s="185"/>
      <c r="AD168" s="186"/>
      <c r="AE168" s="255"/>
      <c r="AF168" s="256"/>
      <c r="AH168" s="186"/>
      <c r="AI168" s="255"/>
      <c r="AJ168" s="256"/>
    </row>
    <row r="169" spans="1:36" ht="13.35" hidden="1" customHeight="1" outlineLevel="1" x14ac:dyDescent="0.3">
      <c r="A169" s="64" t="s">
        <v>259</v>
      </c>
      <c r="B169" s="64" t="s">
        <v>260</v>
      </c>
      <c r="E169" s="202"/>
      <c r="F169" s="203"/>
      <c r="G169" s="204"/>
      <c r="H169" s="186"/>
      <c r="I169" s="144"/>
      <c r="J169" s="145">
        <f t="shared" si="132"/>
        <v>0</v>
      </c>
      <c r="K169" s="272"/>
      <c r="L169" s="272">
        <v>359653.99</v>
      </c>
      <c r="M169" s="135">
        <f t="shared" si="122"/>
        <v>359653.99</v>
      </c>
      <c r="N169" s="135"/>
      <c r="O169" s="135"/>
      <c r="P169" s="135">
        <f t="shared" si="123"/>
        <v>359653.99</v>
      </c>
      <c r="Q169" s="284">
        <v>434072.32000000001</v>
      </c>
      <c r="R169" s="285">
        <f>P169-Q169</f>
        <v>-74418.330000000016</v>
      </c>
      <c r="S169" s="148">
        <f t="shared" si="121"/>
        <v>359653.99</v>
      </c>
      <c r="T169" s="149">
        <f t="shared" si="117"/>
        <v>1.2069164587886263</v>
      </c>
      <c r="U169" s="224">
        <f t="shared" si="118"/>
        <v>359653.99</v>
      </c>
      <c r="V169" s="150">
        <f t="shared" si="119"/>
        <v>0</v>
      </c>
      <c r="W169" s="256">
        <f t="shared" si="120"/>
        <v>0</v>
      </c>
      <c r="X169" s="184"/>
      <c r="Y169" s="185"/>
      <c r="Z169" s="186">
        <f>'[1]2021-22'!C914</f>
        <v>971568.44</v>
      </c>
      <c r="AA169" s="255">
        <f>O169-Z169</f>
        <v>-971568.44</v>
      </c>
      <c r="AB169" s="256">
        <f>IF(ISERR(AA169/Z169),"-",AA169/Z169)</f>
        <v>-1</v>
      </c>
      <c r="AC169" s="185"/>
      <c r="AD169" s="186">
        <v>1204623.8799999999</v>
      </c>
      <c r="AE169" s="255">
        <f>S169-AD169</f>
        <v>-844969.8899999999</v>
      </c>
      <c r="AF169" s="256">
        <f>IF(ISERR(AE169/AD169),"-",AE169/AD169)</f>
        <v>-0.70143876775877956</v>
      </c>
      <c r="AH169" s="186">
        <v>1043741.17</v>
      </c>
      <c r="AI169" s="255">
        <f>S169-AH169</f>
        <v>-684087.18</v>
      </c>
      <c r="AJ169" s="256">
        <f t="shared" si="131"/>
        <v>-0.65541841182713911</v>
      </c>
    </row>
    <row r="170" spans="1:36" ht="13.35" customHeight="1" collapsed="1" x14ac:dyDescent="0.3">
      <c r="A170" s="316" t="s">
        <v>261</v>
      </c>
      <c r="B170" s="12"/>
      <c r="E170" s="258">
        <f>SUM(E151:E167)</f>
        <v>0</v>
      </c>
      <c r="F170" s="346">
        <f>SUM(F151:F167)</f>
        <v>0</v>
      </c>
      <c r="G170" s="190">
        <f>SUM(G151:G167)</f>
        <v>0</v>
      </c>
      <c r="H170" s="195">
        <f t="shared" ref="H170:S170" si="133">SUM(H149:H169)</f>
        <v>19385800</v>
      </c>
      <c r="I170" s="193">
        <f t="shared" si="133"/>
        <v>19407700</v>
      </c>
      <c r="J170" s="193">
        <f t="shared" si="133"/>
        <v>21900</v>
      </c>
      <c r="K170" s="193">
        <f t="shared" si="133"/>
        <v>9322100</v>
      </c>
      <c r="L170" s="193">
        <f t="shared" si="133"/>
        <v>365653.99</v>
      </c>
      <c r="M170" s="193">
        <f t="shared" si="133"/>
        <v>9687753.9900000002</v>
      </c>
      <c r="N170" s="193">
        <f t="shared" si="133"/>
        <v>10090600</v>
      </c>
      <c r="O170" s="194">
        <f t="shared" si="133"/>
        <v>97500</v>
      </c>
      <c r="P170" s="193">
        <f t="shared" si="133"/>
        <v>19875853.989999998</v>
      </c>
      <c r="Q170" s="195">
        <f t="shared" si="133"/>
        <v>11046452.030000001</v>
      </c>
      <c r="R170" s="193">
        <f t="shared" si="133"/>
        <v>8959501.0599999987</v>
      </c>
      <c r="S170" s="193">
        <f t="shared" si="133"/>
        <v>20005953.089999996</v>
      </c>
      <c r="T170" s="196">
        <f>IF(ISERR(Q170/S170),"-",Q170/S170)</f>
        <v>0.55215824911243971</v>
      </c>
      <c r="U170" s="260">
        <f>SUM(U151:U169)</f>
        <v>598253.08999999939</v>
      </c>
      <c r="V170" s="197">
        <f>SUM(V151:V169)</f>
        <v>-130099.09999999939</v>
      </c>
      <c r="W170" s="198">
        <f t="shared" si="120"/>
        <v>-6.5455854156231605E-3</v>
      </c>
      <c r="X170" s="199"/>
      <c r="Y170" s="185"/>
      <c r="Z170" s="200">
        <f>SUM(Z149:Z169)</f>
        <v>19731097.969999999</v>
      </c>
      <c r="AA170" s="369">
        <f>SUM(AA149:AA169)</f>
        <v>-19633597.969999999</v>
      </c>
      <c r="AB170" s="198">
        <f>IF(ISERR(AA170/Z170),"-",AA170/Z170)</f>
        <v>-0.99505856186268782</v>
      </c>
      <c r="AC170" s="185"/>
      <c r="AD170" s="200">
        <f>SUM(AD149:AD169)</f>
        <v>17316027.610000003</v>
      </c>
      <c r="AE170" s="369">
        <f>SUM(AE149:AE169)</f>
        <v>2689925.4799999995</v>
      </c>
      <c r="AF170" s="198">
        <f>IF(ISERR(AE170/AD170),"-",AE170/AD170)</f>
        <v>0.15534310412201977</v>
      </c>
      <c r="AH170" s="200">
        <f>SUM(AH149:AH169)</f>
        <v>16509362.269999998</v>
      </c>
      <c r="AI170" s="369">
        <f>SUM(AI149:AI169)</f>
        <v>3496590.82</v>
      </c>
      <c r="AJ170" s="198">
        <f t="shared" si="131"/>
        <v>0.2117944208150204</v>
      </c>
    </row>
    <row r="171" spans="1:36" ht="13.35" customHeight="1" x14ac:dyDescent="0.3">
      <c r="A171" s="64"/>
      <c r="B171" s="64"/>
      <c r="E171" s="202"/>
      <c r="F171" s="203"/>
      <c r="G171" s="204"/>
      <c r="H171" s="317"/>
      <c r="I171" s="370"/>
      <c r="J171" s="370"/>
      <c r="K171" s="370"/>
      <c r="L171" s="370"/>
      <c r="M171" s="370"/>
      <c r="N171" s="370"/>
      <c r="O171" s="370"/>
      <c r="P171" s="370"/>
      <c r="Q171" s="371"/>
      <c r="R171" s="370"/>
      <c r="S171" s="370"/>
      <c r="T171" s="372"/>
      <c r="U171" s="373"/>
      <c r="V171" s="374"/>
      <c r="W171" s="375"/>
      <c r="X171" s="376"/>
      <c r="Y171" s="377"/>
      <c r="Z171" s="109"/>
      <c r="AA171" s="114"/>
      <c r="AB171" s="115"/>
      <c r="AC171" s="377"/>
      <c r="AD171" s="109"/>
      <c r="AE171" s="114"/>
      <c r="AF171" s="115"/>
      <c r="AH171" s="109"/>
      <c r="AI171" s="114"/>
      <c r="AJ171" s="115"/>
    </row>
    <row r="172" spans="1:36" ht="13.35" customHeight="1" x14ac:dyDescent="0.3">
      <c r="A172" s="64"/>
      <c r="B172" s="64"/>
      <c r="E172" s="202"/>
      <c r="F172" s="203"/>
      <c r="G172" s="204"/>
      <c r="H172" s="202"/>
      <c r="I172" s="370"/>
      <c r="J172" s="370"/>
      <c r="K172" s="370"/>
      <c r="L172" s="370"/>
      <c r="M172" s="370"/>
      <c r="N172" s="370"/>
      <c r="O172" s="370"/>
      <c r="P172" s="370"/>
      <c r="Q172" s="371"/>
      <c r="R172" s="370"/>
      <c r="S172" s="370"/>
      <c r="T172" s="149"/>
      <c r="U172" s="373"/>
      <c r="V172" s="374"/>
      <c r="W172" s="375"/>
      <c r="X172" s="376"/>
      <c r="Y172" s="377"/>
      <c r="Z172" s="109"/>
      <c r="AA172" s="114"/>
      <c r="AB172" s="115"/>
      <c r="AC172" s="377"/>
      <c r="AD172" s="109"/>
      <c r="AE172" s="114"/>
      <c r="AF172" s="115"/>
      <c r="AH172" s="109"/>
      <c r="AI172" s="114"/>
      <c r="AJ172" s="115"/>
    </row>
    <row r="173" spans="1:36" ht="13.35" hidden="1" customHeight="1" outlineLevel="1" x14ac:dyDescent="0.3">
      <c r="A173" s="337" t="s">
        <v>262</v>
      </c>
      <c r="B173" s="64"/>
      <c r="E173" s="202"/>
      <c r="F173" s="203"/>
      <c r="G173" s="204"/>
      <c r="H173" s="202"/>
      <c r="I173" s="370"/>
      <c r="J173" s="370"/>
      <c r="K173" s="370"/>
      <c r="L173" s="370"/>
      <c r="M173" s="370"/>
      <c r="N173" s="370"/>
      <c r="O173" s="370"/>
      <c r="P173" s="370"/>
      <c r="Q173" s="371"/>
      <c r="R173" s="370"/>
      <c r="S173" s="370"/>
      <c r="T173" s="149"/>
      <c r="U173" s="373"/>
      <c r="V173" s="374"/>
      <c r="W173" s="375"/>
      <c r="X173" s="376"/>
      <c r="Y173" s="377"/>
      <c r="Z173" s="109"/>
      <c r="AA173" s="114"/>
      <c r="AB173" s="115"/>
      <c r="AC173" s="377"/>
      <c r="AD173" s="109"/>
      <c r="AE173" s="114"/>
      <c r="AF173" s="115"/>
      <c r="AH173" s="109"/>
      <c r="AI173" s="114"/>
      <c r="AJ173" s="115"/>
    </row>
    <row r="174" spans="1:36" ht="13.35" hidden="1" customHeight="1" outlineLevel="1" x14ac:dyDescent="0.3">
      <c r="A174" s="276" t="s">
        <v>263</v>
      </c>
      <c r="B174" s="64" t="s">
        <v>264</v>
      </c>
      <c r="E174" s="202"/>
      <c r="F174" s="203"/>
      <c r="G174" s="121">
        <f t="shared" ref="G174" si="134">E174-F174</f>
        <v>0</v>
      </c>
      <c r="H174" s="265"/>
      <c r="I174" s="370"/>
      <c r="J174" s="145">
        <f t="shared" ref="J174:J176" si="135">I174-H174</f>
        <v>0</v>
      </c>
      <c r="K174" s="370"/>
      <c r="L174" s="370"/>
      <c r="M174" s="123">
        <f>K174+L174</f>
        <v>0</v>
      </c>
      <c r="N174" s="123"/>
      <c r="O174" s="123"/>
      <c r="P174" s="123">
        <f>M174+N174+O174</f>
        <v>0</v>
      </c>
      <c r="Q174" s="284">
        <v>944239.7</v>
      </c>
      <c r="R174" s="353">
        <f>P174-Q174</f>
        <v>-944239.7</v>
      </c>
      <c r="S174" s="148">
        <f>SUM(Q174:R174)</f>
        <v>0</v>
      </c>
      <c r="T174" s="149" t="str">
        <f t="shared" ref="T174:T176" si="136">IF(ISERR(Q174/S174),"-",Q174/S174)</f>
        <v>-</v>
      </c>
      <c r="U174" s="224">
        <f>S174-I174</f>
        <v>0</v>
      </c>
      <c r="V174" s="378">
        <f>P174-S174</f>
        <v>0</v>
      </c>
      <c r="W174" s="256" t="str">
        <f t="shared" ref="W174:W176" si="137">IF(ISERR(V174/P174),"-",V174/P174)</f>
        <v>-</v>
      </c>
      <c r="X174" s="376"/>
      <c r="Y174" s="377"/>
      <c r="Z174" s="131">
        <f>'[1]2021-22'!C953</f>
        <v>25338.79</v>
      </c>
      <c r="AA174" s="255">
        <f>O174-Z174</f>
        <v>-25338.79</v>
      </c>
      <c r="AB174" s="256">
        <f>IF(ISERR(AA174/Z174),"-",AA174/Z174)</f>
        <v>-1</v>
      </c>
      <c r="AC174" s="377"/>
      <c r="AD174" s="131">
        <v>-2957.25</v>
      </c>
      <c r="AE174" s="255">
        <f>S174-AD174</f>
        <v>2957.25</v>
      </c>
      <c r="AF174" s="256">
        <f>IF(ISERR(AE174/AD174),"-",AE174/AD174)</f>
        <v>-1</v>
      </c>
      <c r="AH174" s="131">
        <v>-2312.87</v>
      </c>
      <c r="AI174" s="255">
        <f>S174-AH174</f>
        <v>2312.87</v>
      </c>
      <c r="AJ174" s="256">
        <f t="shared" ref="AJ174:AJ177" si="138">IF(ISERR(AI174/AH174),"-",AI174/AH174)</f>
        <v>-1</v>
      </c>
    </row>
    <row r="175" spans="1:36" ht="13.35" hidden="1" customHeight="1" outlineLevel="1" x14ac:dyDescent="0.3">
      <c r="A175" s="379" t="s">
        <v>265</v>
      </c>
      <c r="B175" s="305" t="s">
        <v>266</v>
      </c>
      <c r="C175" s="306"/>
      <c r="D175" s="306"/>
      <c r="E175" s="307"/>
      <c r="F175" s="308"/>
      <c r="G175" s="380"/>
      <c r="H175" s="381"/>
      <c r="I175" s="382"/>
      <c r="J175" s="244">
        <f t="shared" si="135"/>
        <v>0</v>
      </c>
      <c r="K175" s="382"/>
      <c r="L175" s="382"/>
      <c r="M175" s="383">
        <f>K175+L175</f>
        <v>0</v>
      </c>
      <c r="N175" s="383"/>
      <c r="O175" s="383"/>
      <c r="P175" s="383">
        <f>M175+N175+O175</f>
        <v>0</v>
      </c>
      <c r="Q175" s="311"/>
      <c r="R175" s="384"/>
      <c r="S175" s="267">
        <f t="shared" ref="S175:S176" si="139">SUM(Q175:R175)</f>
        <v>0</v>
      </c>
      <c r="T175" s="268" t="str">
        <f t="shared" si="136"/>
        <v>-</v>
      </c>
      <c r="U175" s="250"/>
      <c r="V175" s="385">
        <f>P175-S175</f>
        <v>0</v>
      </c>
      <c r="W175" s="313" t="str">
        <f t="shared" si="137"/>
        <v>-</v>
      </c>
      <c r="X175" s="376"/>
      <c r="Y175" s="377"/>
      <c r="Z175" s="186">
        <f>'[1]2021-22'!C958</f>
        <v>0</v>
      </c>
      <c r="AA175" s="255"/>
      <c r="AB175" s="256"/>
      <c r="AC175" s="377"/>
      <c r="AD175" s="186"/>
      <c r="AE175" s="255"/>
      <c r="AF175" s="256"/>
      <c r="AH175" s="186"/>
      <c r="AI175" s="255"/>
      <c r="AJ175" s="256"/>
    </row>
    <row r="176" spans="1:36" ht="13.35" hidden="1" customHeight="1" outlineLevel="1" x14ac:dyDescent="0.3">
      <c r="A176" s="276" t="s">
        <v>267</v>
      </c>
      <c r="B176" s="64" t="s">
        <v>268</v>
      </c>
      <c r="E176" s="202"/>
      <c r="F176" s="203"/>
      <c r="G176" s="204"/>
      <c r="H176" s="186">
        <v>0</v>
      </c>
      <c r="I176" s="144"/>
      <c r="J176" s="145">
        <f t="shared" si="135"/>
        <v>0</v>
      </c>
      <c r="K176" s="135"/>
      <c r="L176" s="370"/>
      <c r="M176" s="135">
        <f>K176+L176</f>
        <v>0</v>
      </c>
      <c r="N176" s="135"/>
      <c r="O176" s="135"/>
      <c r="P176" s="135">
        <f>M176+N176+O176</f>
        <v>0</v>
      </c>
      <c r="Q176" s="284">
        <f>251012.64+968.35+884.16</f>
        <v>252865.15000000002</v>
      </c>
      <c r="R176" s="353">
        <f>P176-Q176</f>
        <v>-252865.15000000002</v>
      </c>
      <c r="S176" s="148">
        <f t="shared" si="139"/>
        <v>0</v>
      </c>
      <c r="T176" s="386" t="str">
        <f t="shared" si="136"/>
        <v>-</v>
      </c>
      <c r="U176" s="224">
        <f>S176-I176</f>
        <v>0</v>
      </c>
      <c r="V176" s="378">
        <f t="shared" ref="V176" si="140">P176-S176</f>
        <v>0</v>
      </c>
      <c r="W176" s="256" t="str">
        <f t="shared" si="137"/>
        <v>-</v>
      </c>
      <c r="X176" s="376"/>
      <c r="Y176" s="377"/>
      <c r="Z176" s="186">
        <f>'[1]2021-22'!C940+'[1]2021-22'!C948+'[1]2021-22'!C958+'[1]2021-22'!C964+'[1]2021-22'!C969+'[1]2021-22'!C975</f>
        <v>3363.37</v>
      </c>
      <c r="AA176" s="255">
        <f>O176-Z176</f>
        <v>-3363.37</v>
      </c>
      <c r="AB176" s="256">
        <f>IF(ISERR(AA176/Z176),"-",AA176/Z176)</f>
        <v>-1</v>
      </c>
      <c r="AC176" s="377"/>
      <c r="AD176" s="186">
        <v>114387.62</v>
      </c>
      <c r="AE176" s="255">
        <f>S176-AD176</f>
        <v>-114387.62</v>
      </c>
      <c r="AF176" s="256">
        <f>IF(ISERR(AE176/AD176),"-",AE176/AD176)</f>
        <v>-1</v>
      </c>
      <c r="AH176" s="186">
        <v>129246.45999999999</v>
      </c>
      <c r="AI176" s="255">
        <f>S176-AH176</f>
        <v>-129246.45999999999</v>
      </c>
      <c r="AJ176" s="256">
        <f t="shared" si="138"/>
        <v>-1</v>
      </c>
    </row>
    <row r="177" spans="1:36" ht="13.35" customHeight="1" collapsed="1" x14ac:dyDescent="0.3">
      <c r="A177" s="316" t="s">
        <v>269</v>
      </c>
      <c r="B177" s="64"/>
      <c r="E177" s="258">
        <f>E174</f>
        <v>0</v>
      </c>
      <c r="F177" s="346">
        <f>F174</f>
        <v>0</v>
      </c>
      <c r="G177" s="346">
        <f>G174</f>
        <v>0</v>
      </c>
      <c r="H177" s="195">
        <f t="shared" ref="H177:S177" si="141">SUM(H174:H176)</f>
        <v>0</v>
      </c>
      <c r="I177" s="193">
        <f t="shared" si="141"/>
        <v>0</v>
      </c>
      <c r="J177" s="259">
        <f t="shared" si="141"/>
        <v>0</v>
      </c>
      <c r="K177" s="193">
        <f t="shared" si="141"/>
        <v>0</v>
      </c>
      <c r="L177" s="193">
        <f t="shared" si="141"/>
        <v>0</v>
      </c>
      <c r="M177" s="193">
        <f t="shared" si="141"/>
        <v>0</v>
      </c>
      <c r="N177" s="193">
        <f t="shared" si="141"/>
        <v>0</v>
      </c>
      <c r="O177" s="193">
        <f t="shared" si="141"/>
        <v>0</v>
      </c>
      <c r="P177" s="193">
        <f t="shared" si="141"/>
        <v>0</v>
      </c>
      <c r="Q177" s="195">
        <f t="shared" si="141"/>
        <v>1197104.8500000001</v>
      </c>
      <c r="R177" s="193">
        <f t="shared" si="141"/>
        <v>-1197104.8500000001</v>
      </c>
      <c r="S177" s="193">
        <f t="shared" si="141"/>
        <v>0</v>
      </c>
      <c r="T177" s="196" t="str">
        <f>IF(ISERR(Q177/S177),"-",Q177/S177)</f>
        <v>-</v>
      </c>
      <c r="U177" s="260">
        <f>SUM(U174:U176)</f>
        <v>0</v>
      </c>
      <c r="V177" s="197">
        <f>SUM(V174:V176)</f>
        <v>0</v>
      </c>
      <c r="W177" s="198" t="str">
        <f>IF(ISERR(V177/P177),"-",V177/P177)</f>
        <v>-</v>
      </c>
      <c r="X177" s="199"/>
      <c r="Y177" s="185"/>
      <c r="Z177" s="200">
        <f>SUM(Z174:Z176)</f>
        <v>28702.16</v>
      </c>
      <c r="AA177" s="261">
        <f>SUM(AA174:AA176)</f>
        <v>-28702.16</v>
      </c>
      <c r="AB177" s="198">
        <f>IF(ISERR(AA177/Z177),"-",AA177/Z177)</f>
        <v>-1</v>
      </c>
      <c r="AC177" s="185"/>
      <c r="AD177" s="200">
        <f>SUM(AD174:AD176)</f>
        <v>111430.37</v>
      </c>
      <c r="AE177" s="261">
        <f>SUM(AE174:AE176)</f>
        <v>-111430.37</v>
      </c>
      <c r="AF177" s="198">
        <f>IF(ISERR(AE177/AD177),"-",AE177/AD177)</f>
        <v>-1</v>
      </c>
      <c r="AH177" s="200">
        <v>126933.59</v>
      </c>
      <c r="AI177" s="261">
        <f>SUM(AI174:AI176)</f>
        <v>-126933.59</v>
      </c>
      <c r="AJ177" s="198">
        <f t="shared" si="138"/>
        <v>-1</v>
      </c>
    </row>
    <row r="178" spans="1:36" ht="13.35" customHeight="1" x14ac:dyDescent="0.3">
      <c r="A178" s="316"/>
      <c r="B178" s="64"/>
      <c r="E178" s="387"/>
      <c r="F178" s="388"/>
      <c r="G178" s="388"/>
      <c r="H178" s="206"/>
      <c r="I178" s="205"/>
      <c r="J178" s="134"/>
      <c r="K178" s="205"/>
      <c r="L178" s="205"/>
      <c r="M178" s="205"/>
      <c r="N178" s="205"/>
      <c r="O178" s="205"/>
      <c r="P178" s="205"/>
      <c r="Q178" s="206"/>
      <c r="R178" s="205"/>
      <c r="S178" s="205"/>
      <c r="T178" s="149"/>
      <c r="U178" s="389"/>
      <c r="V178" s="208"/>
      <c r="W178" s="256"/>
      <c r="X178" s="184"/>
      <c r="Y178" s="185"/>
      <c r="Z178" s="390"/>
      <c r="AA178" s="283"/>
      <c r="AB178" s="256"/>
      <c r="AC178" s="185"/>
      <c r="AD178" s="390"/>
      <c r="AE178" s="283"/>
      <c r="AF178" s="256"/>
      <c r="AH178" s="390"/>
      <c r="AI178" s="283"/>
      <c r="AJ178" s="256"/>
    </row>
    <row r="179" spans="1:36" ht="13.35" customHeight="1" x14ac:dyDescent="0.3">
      <c r="A179" s="64" t="s">
        <v>270</v>
      </c>
      <c r="B179" s="64"/>
      <c r="E179" s="202"/>
      <c r="F179" s="203"/>
      <c r="G179" s="409"/>
      <c r="H179" s="411">
        <v>115309</v>
      </c>
      <c r="I179" s="412"/>
      <c r="J179" s="413">
        <f t="shared" ref="J179" si="142">I179-H179</f>
        <v>-115309</v>
      </c>
      <c r="K179" s="412"/>
      <c r="L179" s="412"/>
      <c r="M179" s="412"/>
      <c r="N179" s="412"/>
      <c r="O179" s="414">
        <v>115309</v>
      </c>
      <c r="P179" s="414">
        <f>M179+N179+O179</f>
        <v>115309</v>
      </c>
      <c r="Q179" s="415">
        <v>0</v>
      </c>
      <c r="R179" s="415">
        <v>0</v>
      </c>
      <c r="S179" s="415">
        <f>Q179+R179</f>
        <v>0</v>
      </c>
      <c r="T179" s="412"/>
      <c r="U179" s="416"/>
      <c r="V179" s="415">
        <f>P179-S179</f>
        <v>115309</v>
      </c>
      <c r="W179" s="417"/>
      <c r="X179" s="410"/>
      <c r="Y179" s="377"/>
      <c r="Z179" s="109"/>
      <c r="AA179" s="114"/>
      <c r="AB179" s="115"/>
      <c r="AC179" s="377"/>
      <c r="AD179" s="109"/>
      <c r="AE179" s="114"/>
      <c r="AF179" s="115"/>
      <c r="AH179" s="109"/>
      <c r="AI179" s="114"/>
      <c r="AJ179" s="115"/>
    </row>
    <row r="180" spans="1:36" ht="13.35" customHeight="1" x14ac:dyDescent="0.3">
      <c r="A180" s="64"/>
      <c r="B180" s="64"/>
      <c r="E180" s="202"/>
      <c r="F180" s="203"/>
      <c r="G180" s="204"/>
      <c r="H180" s="202"/>
      <c r="I180" s="392"/>
      <c r="J180" s="392"/>
      <c r="K180" s="392"/>
      <c r="L180" s="393"/>
      <c r="M180" s="392"/>
      <c r="N180" s="392"/>
      <c r="O180" s="220"/>
      <c r="P180" s="391">
        <f>M180+N180+O180</f>
        <v>0</v>
      </c>
      <c r="Q180" s="394"/>
      <c r="R180" s="392"/>
      <c r="S180" s="392"/>
      <c r="T180" s="395"/>
      <c r="U180" s="318"/>
      <c r="V180" s="148">
        <f>P180-S180</f>
        <v>0</v>
      </c>
      <c r="W180" s="375"/>
      <c r="X180" s="376"/>
      <c r="Y180" s="377"/>
      <c r="Z180" s="109"/>
      <c r="AA180" s="114"/>
      <c r="AB180" s="115"/>
      <c r="AC180" s="377"/>
      <c r="AD180" s="109"/>
      <c r="AE180" s="114"/>
      <c r="AF180" s="115"/>
      <c r="AH180" s="109"/>
      <c r="AI180" s="114"/>
      <c r="AJ180" s="115"/>
    </row>
    <row r="181" spans="1:36" ht="13.35" customHeight="1" thickBot="1" x14ac:dyDescent="0.35">
      <c r="A181" s="316" t="s">
        <v>271</v>
      </c>
      <c r="B181" s="12"/>
      <c r="E181" s="396">
        <f>E23+E39+E60+E73+E80+E113+E126+E145+E170+E177</f>
        <v>0</v>
      </c>
      <c r="F181" s="397">
        <f>F23+F39+F60+F73+F80+F113+F126+F145+F170+F177</f>
        <v>3065.6499999999996</v>
      </c>
      <c r="G181" s="398">
        <f>G23+G39+G60+G73+G80+G113+G126+G145+G170+G177</f>
        <v>-3224.73</v>
      </c>
      <c r="H181" s="399">
        <f>H23+H39+H60+H73+H80+H113+H126+H145+H170+H177+H179</f>
        <v>260401309</v>
      </c>
      <c r="I181" s="399">
        <f>I23+I39+I60+I73+I80+I113+I126+I145+I170+I177+I179</f>
        <v>260286000</v>
      </c>
      <c r="J181" s="400">
        <f>J23+J39+J60+J73+J80+J113+J126+J145+J170+J177+J179</f>
        <v>-115309</v>
      </c>
      <c r="K181" s="399">
        <f>K23+K39+K60+K73+K80+K113+K126+K145+K170+K177</f>
        <v>120436000</v>
      </c>
      <c r="L181" s="399">
        <f>L23+L39+L60+L73+L80+L113+L126+L145+L170+L177</f>
        <v>571132.09</v>
      </c>
      <c r="M181" s="399">
        <f t="shared" ref="M181:S181" si="143">M23+M39+M60+M73+M80+M113+M126+M145+M170+M177+M179</f>
        <v>121007132.08999999</v>
      </c>
      <c r="N181" s="399">
        <f t="shared" si="143"/>
        <v>139830700</v>
      </c>
      <c r="O181" s="401">
        <f t="shared" si="143"/>
        <v>6873061.8399999999</v>
      </c>
      <c r="P181" s="399">
        <f t="shared" si="143"/>
        <v>267710893.93000001</v>
      </c>
      <c r="Q181" s="402">
        <f t="shared" si="143"/>
        <v>130596574.60000001</v>
      </c>
      <c r="R181" s="399">
        <f t="shared" si="143"/>
        <v>137114319.53879291</v>
      </c>
      <c r="S181" s="399">
        <f t="shared" si="143"/>
        <v>267710894.13879287</v>
      </c>
      <c r="T181" s="403">
        <f>IF(ISERR(Q181/S181),"-",Q181/S181)</f>
        <v>0.48782689632455939</v>
      </c>
      <c r="U181" s="404">
        <f>U23+U39+U60+U73+U80+U113+U126+U145+U170+U177</f>
        <v>7493894.1387928892</v>
      </c>
      <c r="V181" s="197">
        <f>V23+V39+V60+V73+V80+V113+V126+V145+V170+V177+V179+V180</f>
        <v>-0.20879289013100788</v>
      </c>
      <c r="W181" s="198">
        <f>IF(ISERR(V181/P181),"-",V181/P181)</f>
        <v>-7.7991928929721564E-10</v>
      </c>
      <c r="X181" s="199"/>
      <c r="Y181" s="185"/>
      <c r="Z181" s="200">
        <f>Z23+Z39+Z60+Z73+Z80+Z113+Z126+Z145+Z170+Z177+Z179</f>
        <v>259068311.38</v>
      </c>
      <c r="AA181" s="261">
        <f>AA23+AA39+AA60+AA73+AA80+AA113+AA126+AA145+AA170+AA177</f>
        <v>-249129582.21000001</v>
      </c>
      <c r="AB181" s="198">
        <f>IF(ISERR(AA181/Z181),"-",AA181/Z181)</f>
        <v>-0.96163664665485882</v>
      </c>
      <c r="AC181" s="185"/>
      <c r="AD181" s="200">
        <f>AD23+AD39+AD60+AD73+AD80+AD113+AD126+AD145+AD170+AD177+AD179</f>
        <v>239341763.84</v>
      </c>
      <c r="AE181" s="261">
        <f>AE23+AE39+AE60+AE73+AE80+AE113+AE126+AE145+AE170+AE177</f>
        <v>27893420.778792888</v>
      </c>
      <c r="AF181" s="198">
        <f>IF(ISERR(AE181/AD181),"-",AE181/AD181)</f>
        <v>0.11654222117891486</v>
      </c>
      <c r="AH181" s="200">
        <v>232479825.28</v>
      </c>
      <c r="AI181" s="261">
        <f>AI23+AI39+AI60+AI73+AI80+AI113+AI126+AI145+AI170+AI177</f>
        <v>34732928.758792892</v>
      </c>
      <c r="AJ181" s="198">
        <f>IF(ISERR(AI181/AH181),"-",AI181/AH181)</f>
        <v>0.14940190494792552</v>
      </c>
    </row>
    <row r="182" spans="1:36" ht="13.35" customHeight="1" thickTop="1" x14ac:dyDescent="0.3">
      <c r="A182" s="7"/>
      <c r="B182" s="405"/>
      <c r="C182" s="7"/>
      <c r="D182" s="7"/>
      <c r="E182" s="406"/>
      <c r="F182" s="203"/>
      <c r="G182" s="406"/>
      <c r="H182" s="406"/>
      <c r="I182" s="349"/>
      <c r="J182" s="349"/>
      <c r="K182" s="349"/>
      <c r="L182" s="349"/>
      <c r="M182" s="220"/>
      <c r="N182" s="220"/>
      <c r="O182" s="220"/>
      <c r="P182" s="220"/>
      <c r="Q182" s="220"/>
      <c r="R182" s="220"/>
      <c r="S182" s="220"/>
      <c r="T182" s="220"/>
      <c r="U182" s="220"/>
      <c r="V182" s="342"/>
      <c r="W182" s="407"/>
      <c r="X182" s="407"/>
      <c r="Y182" s="408"/>
      <c r="AC182" s="408"/>
    </row>
    <row r="183" spans="1:36" x14ac:dyDescent="0.3">
      <c r="F183" s="203"/>
    </row>
    <row r="184" spans="1:36" x14ac:dyDescent="0.3">
      <c r="F184" s="203"/>
    </row>
  </sheetData>
  <mergeCells count="12">
    <mergeCell ref="J4:N4"/>
    <mergeCell ref="I5:O5"/>
    <mergeCell ref="E6:G6"/>
    <mergeCell ref="H6:P6"/>
    <mergeCell ref="Q6:T6"/>
    <mergeCell ref="V6:W6"/>
    <mergeCell ref="E1:P1"/>
    <mergeCell ref="Q1:X1"/>
    <mergeCell ref="E2:P2"/>
    <mergeCell ref="Q2:X2"/>
    <mergeCell ref="E3:P3"/>
    <mergeCell ref="Q3:X3"/>
  </mergeCells>
  <pageMargins left="0.7" right="0.7" top="0.75" bottom="0.75" header="0.3" footer="0.3"/>
  <pageSetup paperSize="5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Tracey, Shawn (ASD-W)</dc:creator>
  <cp:lastModifiedBy>Tracey, Shawn (ASD-W)</cp:lastModifiedBy>
  <cp:lastPrinted>2022-10-11T16:45:35Z</cp:lastPrinted>
  <dcterms:created xsi:type="dcterms:W3CDTF">2022-10-11T16:43:08Z</dcterms:created>
  <dcterms:modified xsi:type="dcterms:W3CDTF">2022-10-11T16:45:48Z</dcterms:modified>
</cp:coreProperties>
</file>